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REGINFRA-01\U80799000\config\Desktop\"/>
    </mc:Choice>
  </mc:AlternateContent>
  <xr:revisionPtr revIDLastSave="0" documentId="13_ncr:1_{E7F45206-0ABC-4658-95C0-70D13A6CD616}" xr6:coauthVersionLast="47" xr6:coauthVersionMax="47" xr10:uidLastSave="{00000000-0000-0000-0000-000000000000}"/>
  <bookViews>
    <workbookView xWindow="34935" yWindow="4050" windowWidth="16275" windowHeight="12240" tabRatio="918" xr2:uid="{F36D1111-CF0D-4891-95EA-3B4AA8EEDA8D}"/>
  </bookViews>
  <sheets>
    <sheet name="Übersicht" sheetId="26" r:id="rId1"/>
    <sheet name="DD Energie 2024" sheetId="3" r:id="rId2"/>
    <sheet name="DD Energie 2025" sheetId="12" r:id="rId3"/>
    <sheet name="DD Energie 2026" sheetId="13" r:id="rId4"/>
    <sheet name="DD Energie 2027" sheetId="14" r:id="rId5"/>
    <sheet name="DD Energie 2028" sheetId="15" r:id="rId6"/>
    <sheet name="DD Energie 2029" sheetId="25" r:id="rId7"/>
  </sheets>
  <definedNames>
    <definedName name="_xlnm._FilterDatabase" localSheetId="1" hidden="1">'DD Energie 2024'!$B$81:$O$90</definedName>
    <definedName name="_xlnm._FilterDatabase" localSheetId="2" hidden="1">'DD Energie 2025'!$B$81:$O$91</definedName>
    <definedName name="_xlnm._FilterDatabase" localSheetId="3" hidden="1">'DD Energie 2026'!$B$81:$O$91</definedName>
    <definedName name="_xlnm._FilterDatabase" localSheetId="4" hidden="1">'DD Energie 2027'!$B$80:$Q$90</definedName>
    <definedName name="_xlnm._FilterDatabase" localSheetId="5" hidden="1">'DD Energie 2028'!$B$80:$Q$90</definedName>
    <definedName name="_xlnm._FilterDatabase" localSheetId="6" hidden="1">'DD Energie 2029'!$B$80:$Q$90</definedName>
    <definedName name="_xlnm.Print_Area" localSheetId="1">'DD Energie 2024'!$A$1:$W$105</definedName>
    <definedName name="_xlnm.Print_Area" localSheetId="2">'DD Energie 2025'!$A$1:$V$117</definedName>
    <definedName name="_xlnm.Print_Area" localSheetId="3">'DD Energie 2026'!$A$1:$V$132</definedName>
    <definedName name="_xlnm.Print_Area" localSheetId="4">'DD Energie 2027'!$A$1:$V$144</definedName>
    <definedName name="_xlnm.Print_Area" localSheetId="5">'DD Energie 2028'!$A$1:$V$158</definedName>
    <definedName name="_xlnm.Print_Area" localSheetId="6">'DD Energie 2029'!$A$1:$V$172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7" i="3" l="1"/>
  <c r="N67" i="3"/>
  <c r="D81" i="3"/>
  <c r="C29" i="3" l="1"/>
  <c r="D33" i="3"/>
  <c r="E71" i="12" l="1"/>
  <c r="M27" i="26"/>
  <c r="D27" i="26" s="1"/>
  <c r="M25" i="26"/>
  <c r="D25" i="26" s="1"/>
  <c r="L25" i="26"/>
  <c r="M23" i="26"/>
  <c r="L23" i="26"/>
  <c r="K23" i="26"/>
  <c r="M21" i="26"/>
  <c r="L21" i="26"/>
  <c r="K21" i="26"/>
  <c r="J21" i="26"/>
  <c r="L19" i="26"/>
  <c r="K19" i="26"/>
  <c r="J19" i="26"/>
  <c r="I19" i="26"/>
  <c r="J17" i="26"/>
  <c r="I17" i="26"/>
  <c r="H17" i="26"/>
  <c r="D23" i="26" l="1"/>
  <c r="D21" i="26"/>
  <c r="D19" i="26"/>
  <c r="F13" i="26"/>
  <c r="F10" i="26" s="1"/>
  <c r="D34" i="3"/>
  <c r="F27" i="25"/>
  <c r="E27" i="25"/>
  <c r="F27" i="15"/>
  <c r="E27" i="15"/>
  <c r="N108" i="25"/>
  <c r="J122" i="25"/>
  <c r="F136" i="25"/>
  <c r="N94" i="15"/>
  <c r="J108" i="15"/>
  <c r="F122" i="15"/>
  <c r="F108" i="14"/>
  <c r="J94" i="14"/>
  <c r="N80" i="14"/>
  <c r="F95" i="13"/>
  <c r="J81" i="13"/>
  <c r="F81" i="12"/>
  <c r="F27" i="14"/>
  <c r="E27" i="14"/>
  <c r="F27" i="13"/>
  <c r="E27" i="13"/>
  <c r="F27" i="12"/>
  <c r="E27" i="12"/>
  <c r="F27" i="3"/>
  <c r="H25" i="3" l="1"/>
  <c r="E27" i="3" l="1"/>
  <c r="H142" i="25" l="1"/>
  <c r="L128" i="25"/>
  <c r="P114" i="25"/>
  <c r="H71" i="25"/>
  <c r="D71" i="25"/>
  <c r="C71" i="25"/>
  <c r="H71" i="15"/>
  <c r="D71" i="15"/>
  <c r="C71" i="15"/>
  <c r="H71" i="14"/>
  <c r="T72" i="13"/>
  <c r="T72" i="25" s="1"/>
  <c r="H71" i="13"/>
  <c r="D71" i="13"/>
  <c r="C71" i="13"/>
  <c r="H87" i="12"/>
  <c r="H86" i="15" s="1"/>
  <c r="H71" i="12"/>
  <c r="T72" i="15" l="1"/>
  <c r="T72" i="14"/>
  <c r="H87" i="13"/>
  <c r="H86" i="25"/>
  <c r="H86" i="14"/>
  <c r="B168" i="25" l="1"/>
  <c r="B154" i="15"/>
  <c r="B140" i="14"/>
  <c r="B127" i="13"/>
  <c r="B113" i="12" l="1"/>
  <c r="B99" i="3"/>
  <c r="M15" i="26" l="1"/>
  <c r="L15" i="26"/>
  <c r="K15" i="26"/>
  <c r="J15" i="26"/>
  <c r="I15" i="26"/>
  <c r="H15" i="26"/>
  <c r="I12" i="26"/>
  <c r="H12" i="26"/>
  <c r="G12" i="26"/>
  <c r="P96" i="25" l="1"/>
  <c r="P110" i="25"/>
  <c r="P124" i="25"/>
  <c r="P138" i="25"/>
  <c r="L138" i="25"/>
  <c r="L124" i="25"/>
  <c r="L110" i="25"/>
  <c r="L96" i="25"/>
  <c r="H152" i="25"/>
  <c r="H138" i="25"/>
  <c r="H124" i="25"/>
  <c r="H110" i="25"/>
  <c r="H96" i="25"/>
  <c r="P82" i="25"/>
  <c r="L82" i="25"/>
  <c r="H82" i="25"/>
  <c r="P152" i="25"/>
  <c r="L152" i="25"/>
  <c r="N94" i="25"/>
  <c r="D150" i="25"/>
  <c r="B155" i="25"/>
  <c r="B171" i="25"/>
  <c r="B170" i="25"/>
  <c r="B169" i="25"/>
  <c r="E165" i="25"/>
  <c r="F165" i="25" s="1"/>
  <c r="D165" i="25"/>
  <c r="B141" i="25"/>
  <c r="B127" i="25"/>
  <c r="B113" i="25"/>
  <c r="B99" i="25"/>
  <c r="B85" i="25"/>
  <c r="N80" i="25"/>
  <c r="J80" i="25"/>
  <c r="F80" i="25"/>
  <c r="R67" i="25"/>
  <c r="N67" i="25"/>
  <c r="J67" i="25"/>
  <c r="F67" i="25"/>
  <c r="D48" i="25"/>
  <c r="B37" i="25"/>
  <c r="J33" i="25"/>
  <c r="F29" i="25"/>
  <c r="F33" i="25" s="1"/>
  <c r="E29" i="25"/>
  <c r="H32" i="25" s="1"/>
  <c r="D29" i="25"/>
  <c r="D33" i="25" s="1"/>
  <c r="C29" i="25"/>
  <c r="C33" i="25" s="1"/>
  <c r="I28" i="25"/>
  <c r="H28" i="25"/>
  <c r="G28" i="25"/>
  <c r="I27" i="25"/>
  <c r="H27" i="25"/>
  <c r="G27" i="25"/>
  <c r="I26" i="25"/>
  <c r="H26" i="25"/>
  <c r="G26" i="25"/>
  <c r="I25" i="25"/>
  <c r="H25" i="25"/>
  <c r="G25" i="25"/>
  <c r="I24" i="25"/>
  <c r="H24" i="25"/>
  <c r="G24" i="25"/>
  <c r="I23" i="25"/>
  <c r="H23" i="25"/>
  <c r="G23" i="25"/>
  <c r="I22" i="25"/>
  <c r="H22" i="25"/>
  <c r="G22" i="25"/>
  <c r="F16" i="25"/>
  <c r="D16" i="25"/>
  <c r="C15" i="25"/>
  <c r="B5" i="25"/>
  <c r="B2" i="25"/>
  <c r="N122" i="25" l="1"/>
  <c r="J136" i="25" s="1"/>
  <c r="G29" i="25"/>
  <c r="G33" i="25" s="1"/>
  <c r="I31" i="25"/>
  <c r="I32" i="25"/>
  <c r="G165" i="25"/>
  <c r="I33" i="25"/>
  <c r="E18" i="25"/>
  <c r="H18" i="25" s="1"/>
  <c r="F18" i="25"/>
  <c r="H30" i="25"/>
  <c r="E33" i="25"/>
  <c r="H33" i="25" s="1"/>
  <c r="H29" i="25"/>
  <c r="I29" i="25"/>
  <c r="I30" i="25"/>
  <c r="H31" i="25"/>
  <c r="N136" i="25" l="1"/>
  <c r="J150" i="25" s="1"/>
  <c r="N150" i="25" s="1"/>
  <c r="F150" i="25"/>
  <c r="I18" i="25"/>
  <c r="G18" i="25"/>
  <c r="B141" i="15" l="1"/>
  <c r="B127" i="15"/>
  <c r="B113" i="15"/>
  <c r="B99" i="15"/>
  <c r="B85" i="15"/>
  <c r="B127" i="14"/>
  <c r="B113" i="14"/>
  <c r="B99" i="14"/>
  <c r="B85" i="14"/>
  <c r="B114" i="13"/>
  <c r="B100" i="13"/>
  <c r="B86" i="13"/>
  <c r="B100" i="12"/>
  <c r="B86" i="12"/>
  <c r="B86" i="3"/>
  <c r="D96" i="3"/>
  <c r="D151" i="15"/>
  <c r="D137" i="14"/>
  <c r="D124" i="13"/>
  <c r="D110" i="12"/>
  <c r="E110" i="12"/>
  <c r="D136" i="15" l="1"/>
  <c r="D136" i="25" s="1"/>
  <c r="D122" i="14"/>
  <c r="D122" i="25" s="1"/>
  <c r="D109" i="13"/>
  <c r="D108" i="25" s="1"/>
  <c r="D95" i="12"/>
  <c r="D94" i="25" s="1"/>
  <c r="D80" i="25"/>
  <c r="F81" i="3" l="1"/>
  <c r="J108" i="25"/>
  <c r="J94" i="25"/>
  <c r="F94" i="25"/>
  <c r="R67" i="12"/>
  <c r="R67" i="15"/>
  <c r="R67" i="14"/>
  <c r="B157" i="15"/>
  <c r="B156" i="15"/>
  <c r="B155" i="15"/>
  <c r="P138" i="15"/>
  <c r="L138" i="15"/>
  <c r="H138" i="15"/>
  <c r="P124" i="15"/>
  <c r="L124" i="15"/>
  <c r="H124" i="15"/>
  <c r="P110" i="15"/>
  <c r="L110" i="15"/>
  <c r="H110" i="15"/>
  <c r="P96" i="15"/>
  <c r="L96" i="15"/>
  <c r="H96" i="15"/>
  <c r="B143" i="14"/>
  <c r="B142" i="14"/>
  <c r="B141" i="14"/>
  <c r="P124" i="14"/>
  <c r="L124" i="14"/>
  <c r="H124" i="14"/>
  <c r="P110" i="14"/>
  <c r="L110" i="14"/>
  <c r="H110" i="14"/>
  <c r="P96" i="14"/>
  <c r="L96" i="14"/>
  <c r="H96" i="14"/>
  <c r="B130" i="13"/>
  <c r="B129" i="13"/>
  <c r="B128" i="13"/>
  <c r="P111" i="13"/>
  <c r="L111" i="13"/>
  <c r="H111" i="13"/>
  <c r="P97" i="13"/>
  <c r="L97" i="13"/>
  <c r="H97" i="13"/>
  <c r="B116" i="12"/>
  <c r="B115" i="12"/>
  <c r="B114" i="12"/>
  <c r="B102" i="3"/>
  <c r="B101" i="3"/>
  <c r="B100" i="3"/>
  <c r="P97" i="12"/>
  <c r="L97" i="12"/>
  <c r="H97" i="12"/>
  <c r="P82" i="15"/>
  <c r="L82" i="15"/>
  <c r="H82" i="15"/>
  <c r="P82" i="14"/>
  <c r="L82" i="14"/>
  <c r="H82" i="14"/>
  <c r="L83" i="13"/>
  <c r="P83" i="13"/>
  <c r="H83" i="13"/>
  <c r="P83" i="12"/>
  <c r="L83" i="12"/>
  <c r="H83" i="12"/>
  <c r="B5" i="15"/>
  <c r="B5" i="14"/>
  <c r="B5" i="13"/>
  <c r="B5" i="12"/>
  <c r="B5" i="3"/>
  <c r="P83" i="3"/>
  <c r="L83" i="3"/>
  <c r="H83" i="3"/>
  <c r="E151" i="15"/>
  <c r="G151" i="15" s="1"/>
  <c r="E96" i="3"/>
  <c r="F96" i="3" s="1"/>
  <c r="F122" i="25" l="1"/>
  <c r="N108" i="15"/>
  <c r="J122" i="15" s="1"/>
  <c r="F108" i="25"/>
  <c r="F151" i="15"/>
  <c r="G96" i="3"/>
  <c r="F136" i="15" l="1"/>
  <c r="N122" i="15"/>
  <c r="J136" i="15" s="1"/>
  <c r="N136" i="15" s="1"/>
  <c r="E124" i="13"/>
  <c r="F67" i="12"/>
  <c r="J67" i="12"/>
  <c r="N67" i="15" l="1"/>
  <c r="N67" i="13"/>
  <c r="N67" i="14"/>
  <c r="F124" i="13"/>
  <c r="G124" i="13"/>
  <c r="F110" i="12"/>
  <c r="G110" i="12"/>
  <c r="E137" i="14" l="1"/>
  <c r="G137" i="14" l="1"/>
  <c r="F137" i="14"/>
  <c r="H128" i="15" l="1"/>
  <c r="H128" i="25" s="1"/>
  <c r="D122" i="15"/>
  <c r="L114" i="15"/>
  <c r="L114" i="25" s="1"/>
  <c r="F108" i="15"/>
  <c r="P100" i="15"/>
  <c r="P100" i="25" s="1"/>
  <c r="J94" i="15"/>
  <c r="N80" i="15"/>
  <c r="D108" i="15"/>
  <c r="F94" i="15"/>
  <c r="D94" i="15"/>
  <c r="J80" i="15"/>
  <c r="F80" i="15"/>
  <c r="D80" i="15"/>
  <c r="J67" i="15"/>
  <c r="F67" i="15"/>
  <c r="D48" i="15"/>
  <c r="B37" i="15"/>
  <c r="J33" i="15"/>
  <c r="F29" i="15"/>
  <c r="E29" i="15"/>
  <c r="D29" i="15"/>
  <c r="D33" i="15" s="1"/>
  <c r="C29" i="15"/>
  <c r="C33" i="15" s="1"/>
  <c r="I28" i="15"/>
  <c r="H28" i="15"/>
  <c r="G28" i="15"/>
  <c r="I27" i="15"/>
  <c r="H27" i="15"/>
  <c r="G27" i="15"/>
  <c r="I26" i="15"/>
  <c r="H26" i="15"/>
  <c r="G26" i="15"/>
  <c r="I25" i="15"/>
  <c r="H25" i="15"/>
  <c r="G25" i="15"/>
  <c r="I24" i="15"/>
  <c r="H24" i="15"/>
  <c r="G24" i="15"/>
  <c r="I23" i="15"/>
  <c r="H23" i="15"/>
  <c r="G23" i="15"/>
  <c r="I22" i="15"/>
  <c r="H22" i="15"/>
  <c r="G22" i="15"/>
  <c r="F16" i="15"/>
  <c r="D16" i="15"/>
  <c r="C15" i="15"/>
  <c r="B2" i="15"/>
  <c r="N94" i="14"/>
  <c r="J108" i="14" s="1"/>
  <c r="H114" i="14"/>
  <c r="D108" i="14"/>
  <c r="L100" i="14"/>
  <c r="F94" i="14"/>
  <c r="P86" i="14"/>
  <c r="N81" i="13"/>
  <c r="J80" i="14"/>
  <c r="D94" i="14"/>
  <c r="F80" i="14"/>
  <c r="D80" i="14"/>
  <c r="D71" i="14"/>
  <c r="C71" i="14"/>
  <c r="J67" i="14"/>
  <c r="F67" i="14"/>
  <c r="D48" i="14"/>
  <c r="B37" i="14"/>
  <c r="J33" i="14"/>
  <c r="F29" i="14"/>
  <c r="E29" i="14"/>
  <c r="D29" i="14"/>
  <c r="C29" i="14"/>
  <c r="I28" i="14"/>
  <c r="H28" i="14"/>
  <c r="G28" i="14"/>
  <c r="I27" i="14"/>
  <c r="H27" i="14"/>
  <c r="G27" i="14"/>
  <c r="I26" i="14"/>
  <c r="H26" i="14"/>
  <c r="G26" i="14"/>
  <c r="I25" i="14"/>
  <c r="H25" i="14"/>
  <c r="G25" i="14"/>
  <c r="I24" i="14"/>
  <c r="H24" i="14"/>
  <c r="G24" i="14"/>
  <c r="I23" i="14"/>
  <c r="H23" i="14"/>
  <c r="G23" i="14"/>
  <c r="I22" i="14"/>
  <c r="H22" i="14"/>
  <c r="G22" i="14"/>
  <c r="F16" i="14"/>
  <c r="D16" i="14"/>
  <c r="C15" i="14"/>
  <c r="B2" i="14"/>
  <c r="J95" i="13"/>
  <c r="N81" i="12"/>
  <c r="J95" i="12" s="1"/>
  <c r="N95" i="12" s="1"/>
  <c r="J81" i="12"/>
  <c r="F81" i="13"/>
  <c r="L87" i="13"/>
  <c r="J67" i="13"/>
  <c r="F67" i="13"/>
  <c r="P72" i="12"/>
  <c r="D71" i="12"/>
  <c r="C71" i="12"/>
  <c r="H101" i="13"/>
  <c r="D95" i="13"/>
  <c r="D81" i="13"/>
  <c r="D48" i="13"/>
  <c r="B37" i="13"/>
  <c r="J33" i="13"/>
  <c r="F29" i="13"/>
  <c r="E29" i="13"/>
  <c r="D29" i="13"/>
  <c r="C29" i="13"/>
  <c r="C33" i="13" s="1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F16" i="13"/>
  <c r="D16" i="13"/>
  <c r="C15" i="13"/>
  <c r="B2" i="13"/>
  <c r="D81" i="12"/>
  <c r="D48" i="12"/>
  <c r="B37" i="12"/>
  <c r="J33" i="12"/>
  <c r="F29" i="12"/>
  <c r="E29" i="12"/>
  <c r="D29" i="12"/>
  <c r="D33" i="12" s="1"/>
  <c r="C29" i="12"/>
  <c r="C33" i="12" s="1"/>
  <c r="I28" i="12"/>
  <c r="H28" i="12"/>
  <c r="G28" i="12"/>
  <c r="I27" i="12"/>
  <c r="H27" i="12"/>
  <c r="G27" i="12"/>
  <c r="I26" i="12"/>
  <c r="H26" i="12"/>
  <c r="G26" i="12"/>
  <c r="I25" i="12"/>
  <c r="H25" i="12"/>
  <c r="G25" i="12"/>
  <c r="I24" i="12"/>
  <c r="H24" i="12"/>
  <c r="G24" i="12"/>
  <c r="I23" i="12"/>
  <c r="H23" i="12"/>
  <c r="G23" i="12"/>
  <c r="I22" i="12"/>
  <c r="H22" i="12"/>
  <c r="G22" i="12"/>
  <c r="F16" i="12"/>
  <c r="D16" i="12"/>
  <c r="C15" i="12"/>
  <c r="B2" i="12"/>
  <c r="N81" i="3"/>
  <c r="J81" i="3"/>
  <c r="E71" i="3"/>
  <c r="D48" i="3"/>
  <c r="B37" i="3"/>
  <c r="L33" i="3"/>
  <c r="J33" i="3"/>
  <c r="F29" i="3"/>
  <c r="F33" i="3" s="1"/>
  <c r="E29" i="3"/>
  <c r="E33" i="3" s="1"/>
  <c r="D29" i="3"/>
  <c r="C33" i="3"/>
  <c r="I28" i="3"/>
  <c r="H28" i="3"/>
  <c r="G28" i="3"/>
  <c r="I27" i="3"/>
  <c r="H27" i="3"/>
  <c r="G27" i="3"/>
  <c r="I26" i="3"/>
  <c r="H26" i="3"/>
  <c r="G26" i="3"/>
  <c r="I25" i="3"/>
  <c r="G25" i="3"/>
  <c r="I24" i="3"/>
  <c r="H24" i="3"/>
  <c r="G24" i="3"/>
  <c r="I23" i="3"/>
  <c r="H23" i="3"/>
  <c r="G23" i="3"/>
  <c r="I22" i="3"/>
  <c r="H22" i="3"/>
  <c r="G22" i="3"/>
  <c r="F16" i="3"/>
  <c r="D16" i="3"/>
  <c r="C15" i="3"/>
  <c r="B2" i="3"/>
  <c r="H100" i="25" l="1"/>
  <c r="H100" i="14"/>
  <c r="H100" i="15"/>
  <c r="P72" i="25"/>
  <c r="P72" i="15"/>
  <c r="P72" i="13"/>
  <c r="P72" i="14"/>
  <c r="L100" i="15"/>
  <c r="L100" i="25"/>
  <c r="H114" i="15"/>
  <c r="H114" i="25"/>
  <c r="P86" i="15"/>
  <c r="P86" i="25"/>
  <c r="L86" i="25"/>
  <c r="L86" i="14"/>
  <c r="L86" i="15"/>
  <c r="E71" i="13"/>
  <c r="E71" i="15"/>
  <c r="E71" i="25"/>
  <c r="E71" i="14"/>
  <c r="F95" i="12"/>
  <c r="I29" i="14"/>
  <c r="F122" i="14"/>
  <c r="N108" i="14"/>
  <c r="J122" i="14" s="1"/>
  <c r="N122" i="14" s="1"/>
  <c r="F109" i="13"/>
  <c r="N95" i="13"/>
  <c r="J109" i="13" s="1"/>
  <c r="N109" i="13" s="1"/>
  <c r="F71" i="3"/>
  <c r="D13" i="26"/>
  <c r="I32" i="15"/>
  <c r="F18" i="15"/>
  <c r="E33" i="15"/>
  <c r="H33" i="15" s="1"/>
  <c r="E18" i="15"/>
  <c r="H32" i="14"/>
  <c r="E18" i="14"/>
  <c r="H18" i="14" s="1"/>
  <c r="I31" i="14"/>
  <c r="F18" i="14"/>
  <c r="H31" i="13"/>
  <c r="E18" i="13"/>
  <c r="H18" i="13" s="1"/>
  <c r="I31" i="13"/>
  <c r="F18" i="13"/>
  <c r="H31" i="12"/>
  <c r="E18" i="12"/>
  <c r="H18" i="12" s="1"/>
  <c r="I31" i="12"/>
  <c r="F18" i="12"/>
  <c r="H29" i="14"/>
  <c r="I30" i="14"/>
  <c r="C33" i="14"/>
  <c r="G29" i="14"/>
  <c r="G33" i="14" s="1"/>
  <c r="H30" i="14"/>
  <c r="F33" i="15"/>
  <c r="I33" i="15" s="1"/>
  <c r="H18" i="15"/>
  <c r="D33" i="14"/>
  <c r="F33" i="14"/>
  <c r="I32" i="14"/>
  <c r="I29" i="13"/>
  <c r="I32" i="13"/>
  <c r="F33" i="13"/>
  <c r="G29" i="15"/>
  <c r="G33" i="15" s="1"/>
  <c r="H30" i="15"/>
  <c r="I30" i="15"/>
  <c r="H31" i="15"/>
  <c r="H32" i="15"/>
  <c r="I31" i="15"/>
  <c r="H29" i="15"/>
  <c r="I29" i="15"/>
  <c r="E33" i="14"/>
  <c r="H31" i="14"/>
  <c r="D33" i="13"/>
  <c r="G29" i="13"/>
  <c r="G33" i="13" s="1"/>
  <c r="I30" i="13"/>
  <c r="H32" i="13"/>
  <c r="H29" i="13"/>
  <c r="H30" i="13"/>
  <c r="E33" i="13"/>
  <c r="H33" i="13" s="1"/>
  <c r="G29" i="12"/>
  <c r="G33" i="12" s="1"/>
  <c r="I29" i="12"/>
  <c r="H30" i="12"/>
  <c r="I32" i="12"/>
  <c r="H32" i="12"/>
  <c r="E33" i="12"/>
  <c r="H33" i="12" s="1"/>
  <c r="I30" i="12"/>
  <c r="F33" i="12"/>
  <c r="I33" i="12" s="1"/>
  <c r="H29" i="12"/>
  <c r="H33" i="3"/>
  <c r="G29" i="3"/>
  <c r="G33" i="3" s="1"/>
  <c r="H31" i="3"/>
  <c r="H32" i="3"/>
  <c r="I33" i="3"/>
  <c r="D35" i="3"/>
  <c r="D37" i="3" s="1"/>
  <c r="I31" i="3"/>
  <c r="E18" i="3"/>
  <c r="H18" i="3" s="1"/>
  <c r="H29" i="3"/>
  <c r="F18" i="3"/>
  <c r="I29" i="3"/>
  <c r="I32" i="3"/>
  <c r="H30" i="3"/>
  <c r="I30" i="3"/>
  <c r="D51" i="3" l="1"/>
  <c r="E51" i="3" s="1"/>
  <c r="E37" i="3"/>
  <c r="F71" i="15"/>
  <c r="F71" i="12"/>
  <c r="F71" i="13"/>
  <c r="F71" i="25"/>
  <c r="F71" i="14"/>
  <c r="G18" i="14"/>
  <c r="G71" i="3"/>
  <c r="G18" i="13"/>
  <c r="G18" i="12"/>
  <c r="I18" i="12"/>
  <c r="G18" i="15"/>
  <c r="I18" i="14"/>
  <c r="I18" i="13"/>
  <c r="H33" i="14"/>
  <c r="I18" i="15"/>
  <c r="I33" i="14"/>
  <c r="I33" i="13"/>
  <c r="G18" i="3"/>
  <c r="I18" i="3"/>
  <c r="C86" i="3"/>
  <c r="I71" i="3" l="1"/>
  <c r="C98" i="3" s="1"/>
  <c r="G71" i="14"/>
  <c r="G71" i="15"/>
  <c r="G71" i="12"/>
  <c r="G71" i="25"/>
  <c r="G71" i="13"/>
  <c r="C86" i="13"/>
  <c r="C85" i="14"/>
  <c r="C85" i="15"/>
  <c r="C85" i="25"/>
  <c r="C86" i="12"/>
  <c r="D16" i="26"/>
  <c r="E57" i="3" l="1"/>
  <c r="I71" i="12"/>
  <c r="I71" i="25"/>
  <c r="I71" i="13"/>
  <c r="I71" i="15"/>
  <c r="I71" i="14"/>
  <c r="J71" i="3"/>
  <c r="E98" i="3"/>
  <c r="D86" i="3"/>
  <c r="K71" i="3" l="1"/>
  <c r="J71" i="25"/>
  <c r="J71" i="13"/>
  <c r="J71" i="12"/>
  <c r="J71" i="15"/>
  <c r="J71" i="14"/>
  <c r="E86" i="3"/>
  <c r="F86" i="3" s="1"/>
  <c r="G86" i="3" s="1"/>
  <c r="H86" i="3" s="1"/>
  <c r="H86" i="12" s="1"/>
  <c r="D86" i="13"/>
  <c r="D85" i="14"/>
  <c r="D86" i="12"/>
  <c r="D85" i="15"/>
  <c r="D85" i="25"/>
  <c r="K71" i="25" l="1"/>
  <c r="K71" i="13"/>
  <c r="K71" i="15"/>
  <c r="K71" i="14"/>
  <c r="K71" i="12"/>
  <c r="M71" i="3"/>
  <c r="H85" i="15"/>
  <c r="H85" i="25"/>
  <c r="H86" i="13"/>
  <c r="H85" i="14"/>
  <c r="E85" i="14"/>
  <c r="E86" i="12"/>
  <c r="F86" i="12" s="1"/>
  <c r="E85" i="15"/>
  <c r="E85" i="25"/>
  <c r="E86" i="13"/>
  <c r="G99" i="3"/>
  <c r="N71" i="3" l="1"/>
  <c r="O71" i="3" s="1"/>
  <c r="P71" i="3" s="1"/>
  <c r="M71" i="13"/>
  <c r="M71" i="15"/>
  <c r="M71" i="14"/>
  <c r="M71" i="12"/>
  <c r="M71" i="25"/>
  <c r="F100" i="3"/>
  <c r="F98" i="3" s="1"/>
  <c r="L71" i="13"/>
  <c r="L71" i="15"/>
  <c r="L71" i="14"/>
  <c r="L71" i="12"/>
  <c r="L71" i="25"/>
  <c r="G13" i="26"/>
  <c r="G10" i="26" s="1"/>
  <c r="G86" i="12"/>
  <c r="F85" i="15"/>
  <c r="F85" i="25"/>
  <c r="F86" i="13"/>
  <c r="F85" i="14"/>
  <c r="H16" i="26"/>
  <c r="I86" i="3"/>
  <c r="J86" i="3" s="1"/>
  <c r="K86" i="3" s="1"/>
  <c r="L86" i="3" s="1"/>
  <c r="D34" i="12" l="1"/>
  <c r="D35" i="12" s="1"/>
  <c r="D37" i="12" s="1"/>
  <c r="E37" i="12" s="1"/>
  <c r="N71" i="12"/>
  <c r="C112" i="12"/>
  <c r="Q71" i="3"/>
  <c r="R71" i="3" s="1"/>
  <c r="S71" i="3" s="1"/>
  <c r="G85" i="15"/>
  <c r="I86" i="12"/>
  <c r="G85" i="25"/>
  <c r="G86" i="13"/>
  <c r="G85" i="14"/>
  <c r="F114" i="12"/>
  <c r="M86" i="3"/>
  <c r="N86" i="3" s="1"/>
  <c r="O86" i="3" s="1"/>
  <c r="P86" i="3" s="1"/>
  <c r="D51" i="12" l="1"/>
  <c r="T71" i="3"/>
  <c r="H13" i="26"/>
  <c r="H10" i="26" s="1"/>
  <c r="G100" i="3"/>
  <c r="G98" i="3" s="1"/>
  <c r="P71" i="12"/>
  <c r="N71" i="15"/>
  <c r="N71" i="14"/>
  <c r="N71" i="25"/>
  <c r="O71" i="12"/>
  <c r="N71" i="13"/>
  <c r="I85" i="15"/>
  <c r="I85" i="25"/>
  <c r="I86" i="13"/>
  <c r="J86" i="13" s="1"/>
  <c r="I85" i="14"/>
  <c r="J86" i="12"/>
  <c r="D114" i="12"/>
  <c r="D112" i="12" s="1"/>
  <c r="D18" i="26" l="1"/>
  <c r="E51" i="12"/>
  <c r="K86" i="12"/>
  <c r="L86" i="12" s="1"/>
  <c r="U71" i="3"/>
  <c r="C100" i="12"/>
  <c r="C99" i="14" s="1"/>
  <c r="P71" i="25"/>
  <c r="P71" i="13"/>
  <c r="P71" i="15"/>
  <c r="P71" i="14"/>
  <c r="F115" i="12"/>
  <c r="F112" i="12" s="1"/>
  <c r="D34" i="13" s="1"/>
  <c r="D35" i="13" s="1"/>
  <c r="D37" i="13" s="1"/>
  <c r="O71" i="15"/>
  <c r="O71" i="25"/>
  <c r="Q71" i="12"/>
  <c r="O71" i="14"/>
  <c r="O71" i="13"/>
  <c r="K86" i="13"/>
  <c r="J85" i="25"/>
  <c r="J85" i="14"/>
  <c r="J85" i="15"/>
  <c r="Q86" i="3"/>
  <c r="D51" i="13" l="1"/>
  <c r="C114" i="13" s="1"/>
  <c r="E37" i="13"/>
  <c r="L86" i="13"/>
  <c r="M86" i="12"/>
  <c r="N86" i="12" s="1"/>
  <c r="O86" i="12" s="1"/>
  <c r="I16" i="26"/>
  <c r="G114" i="12"/>
  <c r="D100" i="12"/>
  <c r="D99" i="15" s="1"/>
  <c r="C100" i="13"/>
  <c r="E112" i="12"/>
  <c r="C99" i="15"/>
  <c r="C99" i="25"/>
  <c r="Q71" i="25"/>
  <c r="Q71" i="13"/>
  <c r="Q71" i="15"/>
  <c r="Q71" i="14"/>
  <c r="R71" i="12"/>
  <c r="S71" i="12" s="1"/>
  <c r="T71" i="12" s="1"/>
  <c r="K85" i="14"/>
  <c r="K85" i="15"/>
  <c r="K85" i="25"/>
  <c r="M86" i="13"/>
  <c r="N86" i="13" s="1"/>
  <c r="O86" i="13" s="1"/>
  <c r="P86" i="13" s="1"/>
  <c r="P86" i="12"/>
  <c r="Q86" i="12" s="1"/>
  <c r="D20" i="26" l="1"/>
  <c r="E51" i="13"/>
  <c r="F129" i="13"/>
  <c r="L85" i="14"/>
  <c r="L85" i="15"/>
  <c r="L85" i="25"/>
  <c r="D99" i="14"/>
  <c r="D99" i="25"/>
  <c r="D100" i="13"/>
  <c r="E100" i="12"/>
  <c r="E99" i="15" s="1"/>
  <c r="U71" i="12"/>
  <c r="R71" i="13"/>
  <c r="C126" i="13"/>
  <c r="E100" i="13"/>
  <c r="F100" i="13" s="1"/>
  <c r="P85" i="14"/>
  <c r="C113" i="15"/>
  <c r="C113" i="25"/>
  <c r="M85" i="15"/>
  <c r="M85" i="25"/>
  <c r="M85" i="14"/>
  <c r="N85" i="14" s="1"/>
  <c r="D129" i="13"/>
  <c r="C113" i="14"/>
  <c r="D114" i="13"/>
  <c r="E126" i="13"/>
  <c r="F100" i="12" l="1"/>
  <c r="G100" i="12" s="1"/>
  <c r="H100" i="12" s="1"/>
  <c r="E99" i="14"/>
  <c r="E99" i="25"/>
  <c r="J16" i="26"/>
  <c r="G129" i="13"/>
  <c r="Q86" i="13"/>
  <c r="G100" i="13"/>
  <c r="F99" i="14"/>
  <c r="F99" i="15"/>
  <c r="F99" i="25"/>
  <c r="S71" i="13"/>
  <c r="R71" i="25"/>
  <c r="R71" i="14"/>
  <c r="R71" i="15"/>
  <c r="T71" i="13"/>
  <c r="G115" i="12"/>
  <c r="I13" i="26"/>
  <c r="P85" i="25"/>
  <c r="P85" i="15"/>
  <c r="F143" i="14"/>
  <c r="O85" i="14"/>
  <c r="R86" i="14" s="1"/>
  <c r="N85" i="15"/>
  <c r="N85" i="25"/>
  <c r="E114" i="13"/>
  <c r="D113" i="14"/>
  <c r="D113" i="25"/>
  <c r="D113" i="15"/>
  <c r="V72" i="13" l="1"/>
  <c r="I100" i="12"/>
  <c r="J100" i="12" s="1"/>
  <c r="K100" i="12" s="1"/>
  <c r="I18" i="26"/>
  <c r="U71" i="13"/>
  <c r="T71" i="14"/>
  <c r="T71" i="15"/>
  <c r="T71" i="25"/>
  <c r="F130" i="13"/>
  <c r="S71" i="14"/>
  <c r="S71" i="15"/>
  <c r="S71" i="25"/>
  <c r="L100" i="12"/>
  <c r="M100" i="12" s="1"/>
  <c r="N100" i="12" s="1"/>
  <c r="O100" i="12" s="1"/>
  <c r="P100" i="12" s="1"/>
  <c r="Q100" i="12" s="1"/>
  <c r="G113" i="12"/>
  <c r="G112" i="12" s="1"/>
  <c r="H100" i="13"/>
  <c r="I10" i="26"/>
  <c r="G99" i="14"/>
  <c r="G99" i="15"/>
  <c r="G99" i="25"/>
  <c r="F114" i="13"/>
  <c r="G114" i="13" s="1"/>
  <c r="H114" i="13" s="1"/>
  <c r="G127" i="13" s="1"/>
  <c r="E113" i="14"/>
  <c r="E113" i="25"/>
  <c r="E113" i="15"/>
  <c r="O85" i="15"/>
  <c r="O85" i="25"/>
  <c r="H99" i="15" l="1"/>
  <c r="H99" i="25"/>
  <c r="H99" i="14"/>
  <c r="F128" i="13"/>
  <c r="F126" i="13" s="1"/>
  <c r="D34" i="14" s="1"/>
  <c r="D35" i="14" s="1"/>
  <c r="D37" i="14" s="1"/>
  <c r="E37" i="14" s="1"/>
  <c r="I100" i="13"/>
  <c r="G131" i="13"/>
  <c r="F144" i="14" s="1"/>
  <c r="J20" i="26"/>
  <c r="H113" i="14"/>
  <c r="F141" i="14" s="1"/>
  <c r="I114" i="13"/>
  <c r="J114" i="13" s="1"/>
  <c r="K114" i="13" s="1"/>
  <c r="L114" i="13" s="1"/>
  <c r="M114" i="13" s="1"/>
  <c r="N114" i="13" s="1"/>
  <c r="O114" i="13" s="1"/>
  <c r="F113" i="14"/>
  <c r="D141" i="14"/>
  <c r="P114" i="13" l="1"/>
  <c r="Q114" i="13" s="1"/>
  <c r="H113" i="15"/>
  <c r="H113" i="25"/>
  <c r="D128" i="13"/>
  <c r="D126" i="13" s="1"/>
  <c r="I99" i="25"/>
  <c r="I99" i="14"/>
  <c r="J99" i="14" s="1"/>
  <c r="I99" i="15"/>
  <c r="J100" i="13"/>
  <c r="K100" i="13" s="1"/>
  <c r="D51" i="14"/>
  <c r="E51" i="14" s="1"/>
  <c r="U71" i="14"/>
  <c r="G113" i="14"/>
  <c r="F113" i="25"/>
  <c r="F113" i="15"/>
  <c r="C127" i="14" l="1"/>
  <c r="D22" i="26"/>
  <c r="L100" i="13"/>
  <c r="J18" i="26" s="1"/>
  <c r="K99" i="14"/>
  <c r="J99" i="25"/>
  <c r="J99" i="15"/>
  <c r="U71" i="25"/>
  <c r="U71" i="15"/>
  <c r="G113" i="25"/>
  <c r="G113" i="15"/>
  <c r="I113" i="14"/>
  <c r="K99" i="25" l="1"/>
  <c r="K99" i="15"/>
  <c r="L99" i="14"/>
  <c r="G128" i="13"/>
  <c r="G126" i="13" s="1"/>
  <c r="M100" i="13"/>
  <c r="N100" i="13" s="1"/>
  <c r="O100" i="13" s="1"/>
  <c r="C127" i="25"/>
  <c r="C127" i="15"/>
  <c r="E139" i="14"/>
  <c r="D127" i="14"/>
  <c r="J113" i="14"/>
  <c r="K113" i="14" s="1"/>
  <c r="I113" i="15"/>
  <c r="J113" i="15" s="1"/>
  <c r="I113" i="25"/>
  <c r="P100" i="13" l="1"/>
  <c r="Q100" i="13" s="1"/>
  <c r="M99" i="14"/>
  <c r="L99" i="15"/>
  <c r="L99" i="25"/>
  <c r="F142" i="14"/>
  <c r="F139" i="14" s="1"/>
  <c r="D34" i="15" s="1"/>
  <c r="D35" i="15" s="1"/>
  <c r="D37" i="15" s="1"/>
  <c r="E37" i="15" s="1"/>
  <c r="E127" i="14"/>
  <c r="D127" i="15"/>
  <c r="D127" i="25"/>
  <c r="L113" i="14"/>
  <c r="M113" i="14" s="1"/>
  <c r="N113" i="14" s="1"/>
  <c r="O113" i="14" s="1"/>
  <c r="K113" i="15"/>
  <c r="J113" i="25"/>
  <c r="E127" i="25" l="1"/>
  <c r="E127" i="15"/>
  <c r="F127" i="14"/>
  <c r="G127" i="14" s="1"/>
  <c r="D51" i="15"/>
  <c r="E51" i="15" s="1"/>
  <c r="D142" i="14"/>
  <c r="M99" i="15"/>
  <c r="N99" i="15" s="1"/>
  <c r="M99" i="25"/>
  <c r="N99" i="14"/>
  <c r="O99" i="14" s="1"/>
  <c r="K113" i="25"/>
  <c r="P113" i="14"/>
  <c r="Q113" i="14" s="1"/>
  <c r="K20" i="26"/>
  <c r="G141" i="14"/>
  <c r="L113" i="15"/>
  <c r="M113" i="15" s="1"/>
  <c r="O99" i="15" l="1"/>
  <c r="N99" i="25"/>
  <c r="D24" i="26"/>
  <c r="C141" i="15"/>
  <c r="H127" i="14"/>
  <c r="F127" i="15"/>
  <c r="F127" i="25" s="1"/>
  <c r="P99" i="14"/>
  <c r="F156" i="15"/>
  <c r="L113" i="25"/>
  <c r="M113" i="25"/>
  <c r="N113" i="25" s="1"/>
  <c r="O113" i="25" s="1"/>
  <c r="D156" i="15"/>
  <c r="N113" i="15"/>
  <c r="O113" i="15" s="1"/>
  <c r="J13" i="26"/>
  <c r="J10" i="26" s="1"/>
  <c r="C139" i="14"/>
  <c r="O99" i="25" l="1"/>
  <c r="Q99" i="14"/>
  <c r="K18" i="26"/>
  <c r="G127" i="15"/>
  <c r="G127" i="25" s="1"/>
  <c r="H127" i="15"/>
  <c r="G140" i="14"/>
  <c r="K22" i="26"/>
  <c r="C141" i="25"/>
  <c r="D141" i="15"/>
  <c r="E153" i="15"/>
  <c r="P99" i="15"/>
  <c r="R100" i="15" s="1"/>
  <c r="G142" i="14"/>
  <c r="I127" i="14"/>
  <c r="J127" i="14" s="1"/>
  <c r="K127" i="14" s="1"/>
  <c r="L127" i="14" s="1"/>
  <c r="M127" i="14" s="1"/>
  <c r="N127" i="14" s="1"/>
  <c r="O127" i="14" s="1"/>
  <c r="P127" i="14" s="1"/>
  <c r="Q127" i="14" s="1"/>
  <c r="P113" i="15"/>
  <c r="Q113" i="15" s="1"/>
  <c r="I127" i="15" l="1"/>
  <c r="I127" i="25" s="1"/>
  <c r="J127" i="25" s="1"/>
  <c r="K127" i="25" s="1"/>
  <c r="Q99" i="15"/>
  <c r="L18" i="26" s="1"/>
  <c r="P99" i="25"/>
  <c r="F157" i="15"/>
  <c r="E141" i="15"/>
  <c r="D141" i="25"/>
  <c r="F155" i="15"/>
  <c r="H127" i="25"/>
  <c r="P113" i="25"/>
  <c r="R114" i="25" s="1"/>
  <c r="L20" i="26"/>
  <c r="G156" i="15"/>
  <c r="J127" i="15" l="1"/>
  <c r="K127" i="15" s="1"/>
  <c r="L127" i="15" s="1"/>
  <c r="M127" i="15" s="1"/>
  <c r="N127" i="15" s="1"/>
  <c r="O127" i="15" s="1"/>
  <c r="P127" i="15" s="1"/>
  <c r="Q127" i="15" s="1"/>
  <c r="D155" i="15"/>
  <c r="F141" i="15"/>
  <c r="G141" i="15" s="1"/>
  <c r="E141" i="25"/>
  <c r="F141" i="25" s="1"/>
  <c r="G141" i="25" s="1"/>
  <c r="G158" i="15"/>
  <c r="F172" i="25" s="1"/>
  <c r="D157" i="15"/>
  <c r="F171" i="25"/>
  <c r="Q113" i="25"/>
  <c r="Q99" i="25" l="1"/>
  <c r="D153" i="15"/>
  <c r="L127" i="25"/>
  <c r="L22" i="26"/>
  <c r="G155" i="15"/>
  <c r="H141" i="15"/>
  <c r="I141" i="15" s="1"/>
  <c r="G172" i="25"/>
  <c r="D171" i="25"/>
  <c r="M20" i="26"/>
  <c r="J141" i="15" l="1"/>
  <c r="K141" i="15" s="1"/>
  <c r="L141" i="15" s="1"/>
  <c r="M141" i="15" s="1"/>
  <c r="N141" i="15" s="1"/>
  <c r="O141" i="15" s="1"/>
  <c r="P141" i="15" s="1"/>
  <c r="Q141" i="15" s="1"/>
  <c r="I141" i="25"/>
  <c r="L24" i="26"/>
  <c r="L10" i="26" s="1"/>
  <c r="G154" i="15"/>
  <c r="G153" i="15" s="1"/>
  <c r="H141" i="25"/>
  <c r="F169" i="25" s="1"/>
  <c r="F170" i="25"/>
  <c r="M127" i="25"/>
  <c r="F167" i="25" l="1"/>
  <c r="J141" i="25"/>
  <c r="K141" i="25" s="1"/>
  <c r="L141" i="25" s="1"/>
  <c r="D169" i="25"/>
  <c r="D170" i="25"/>
  <c r="N127" i="25"/>
  <c r="O127" i="25" s="1"/>
  <c r="P127" i="25" l="1"/>
  <c r="Q127" i="25" s="1"/>
  <c r="D167" i="25"/>
  <c r="M141" i="25"/>
  <c r="N141" i="25" s="1"/>
  <c r="O141" i="25" s="1"/>
  <c r="P141" i="25" s="1"/>
  <c r="Q141" i="25" s="1"/>
  <c r="G169" i="25"/>
  <c r="M24" i="26"/>
  <c r="G170" i="25" l="1"/>
  <c r="M22" i="26"/>
  <c r="K17" i="26"/>
  <c r="D17" i="26" s="1"/>
  <c r="Q85" i="14"/>
  <c r="D143" i="14" s="1"/>
  <c r="D139" i="14" s="1"/>
  <c r="G144" i="14" l="1"/>
  <c r="Q85" i="15" s="1"/>
  <c r="Q85" i="25" s="1"/>
  <c r="K16" i="26"/>
  <c r="K10" i="26" s="1"/>
  <c r="G139" i="14" l="1"/>
  <c r="F158" i="15"/>
  <c r="F153" i="15" s="1"/>
  <c r="D34" i="25" s="1"/>
  <c r="D35" i="25" s="1"/>
  <c r="D37" i="25" s="1"/>
  <c r="E37" i="25" s="1"/>
  <c r="D51" i="25" l="1"/>
  <c r="E51" i="25" s="1"/>
  <c r="C155" i="25" l="1"/>
  <c r="D26" i="26"/>
  <c r="D155" i="25" l="1"/>
  <c r="E155" i="25" s="1"/>
  <c r="E167" i="25"/>
  <c r="F155" i="25" l="1"/>
  <c r="G155" i="25" s="1"/>
  <c r="H155" i="25" l="1"/>
  <c r="M26" i="26" l="1"/>
  <c r="M10" i="26" s="1"/>
  <c r="G168" i="25"/>
  <c r="G167" i="25" s="1"/>
  <c r="I155" i="25"/>
  <c r="J155" i="25" s="1"/>
  <c r="K155" i="25" s="1"/>
  <c r="L155" i="25" l="1"/>
  <c r="M155" i="25" s="1"/>
  <c r="N155" i="25" s="1"/>
  <c r="O155" i="25" s="1"/>
  <c r="P155" i="25" l="1"/>
  <c r="Q155" i="25" s="1"/>
</calcChain>
</file>

<file path=xl/sharedStrings.xml><?xml version="1.0" encoding="utf-8"?>
<sst xmlns="http://schemas.openxmlformats.org/spreadsheetml/2006/main" count="2296" uniqueCount="162">
  <si>
    <t>Berechnung</t>
  </si>
  <si>
    <t>Referenzzeitraum der Deckungsdifferenzen Energie</t>
  </si>
  <si>
    <t>von</t>
  </si>
  <si>
    <t>bis</t>
  </si>
  <si>
    <t>Welchen Zinssatz (WACC) haben Sie für die Verzinsung der Produktionsanlagen verwendet?</t>
  </si>
  <si>
    <t>Umsatzerlöse aus Energielieferung</t>
  </si>
  <si>
    <t>Zeitraum: von</t>
  </si>
  <si>
    <r>
      <t xml:space="preserve">Erlöse ingesamt
</t>
    </r>
    <r>
      <rPr>
        <sz val="10"/>
        <rFont val="Arial"/>
        <family val="2"/>
      </rPr>
      <t>[CHF]</t>
    </r>
  </si>
  <si>
    <r>
      <t xml:space="preserve">davon Kunden in Grundversorgung 
</t>
    </r>
    <r>
      <rPr>
        <sz val="10"/>
        <color indexed="12"/>
        <rFont val="Arial"/>
        <family val="2"/>
      </rPr>
      <t>[CHF]</t>
    </r>
  </si>
  <si>
    <t>Liefermenge 
[MWh]</t>
  </si>
  <si>
    <r>
      <t>davon Kunden in Grundversorgung
[</t>
    </r>
    <r>
      <rPr>
        <b/>
        <sz val="10"/>
        <rFont val="Arial"/>
        <family val="2"/>
      </rPr>
      <t>MWh]</t>
    </r>
  </si>
  <si>
    <t>Anteil Kunden in Grundversorgung
[%]</t>
  </si>
  <si>
    <t>Rp/kWh</t>
  </si>
  <si>
    <t>davon Kunden in Grundversorgung [Rp/kWh]</t>
  </si>
  <si>
    <t>Bemerkungen</t>
  </si>
  <si>
    <t>Umsatzerlöse aus Energielieferung (ohne Verlustenergie Netz)</t>
  </si>
  <si>
    <t>Gestehungskosten</t>
  </si>
  <si>
    <t>Gestehungskosten Energielieferung</t>
  </si>
  <si>
    <r>
      <t xml:space="preserve">Kosten
</t>
    </r>
    <r>
      <rPr>
        <sz val="10"/>
        <rFont val="Arial"/>
        <family val="2"/>
      </rPr>
      <t>[CHF]</t>
    </r>
  </si>
  <si>
    <t>MWh-Anteil
Liefermenge
[%]</t>
  </si>
  <si>
    <t>Eigene Produktion</t>
  </si>
  <si>
    <r>
      <t xml:space="preserve">     - davon erneuerbare Energien (gem. Art. 6 Abs. 5</t>
    </r>
    <r>
      <rPr>
        <vertAlign val="superscript"/>
        <sz val="10"/>
        <rFont val="Arial"/>
        <family val="2"/>
      </rPr>
      <t>bis</t>
    </r>
    <r>
      <rPr>
        <sz val="10"/>
        <rFont val="Arial"/>
        <family val="2"/>
      </rPr>
      <t xml:space="preserve"> StromVG)</t>
    </r>
  </si>
  <si>
    <t>Siehe Formular 5.5</t>
  </si>
  <si>
    <t xml:space="preserve">     - davon Grosswasserkraft (gemäss Art. 31 EnG)</t>
  </si>
  <si>
    <t>Siehe Formular 5.4</t>
  </si>
  <si>
    <t>Kauf (inkl. Ausgleichsenergie, ohne HKN)</t>
  </si>
  <si>
    <t>Kauf Herkunftsnachweise</t>
  </si>
  <si>
    <t>./. Eigene Netzverluste</t>
  </si>
  <si>
    <t>Total Beschaffung ohne Netzverluste</t>
  </si>
  <si>
    <t>Verwaltungs- und Vertriebskosten (ohne Deckungsdifferenz)</t>
  </si>
  <si>
    <t>Sonstige Kosten der Energielieferung</t>
  </si>
  <si>
    <t>Gewinn des Vertriebes</t>
  </si>
  <si>
    <t>Total Gestehungskosten Energielieferung</t>
  </si>
  <si>
    <t>Verwendung Deckungsdifferenzen</t>
  </si>
  <si>
    <t>Tarifierte Gestehungskosten</t>
  </si>
  <si>
    <t>2. Von der ElCom bzw. höheren Instanzen verfügte Anpassung</t>
  </si>
  <si>
    <t>(Tarifreduktionen + / Tariferhöhungen -)</t>
  </si>
  <si>
    <t>[Datum]</t>
  </si>
  <si>
    <t>[CHF]</t>
  </si>
  <si>
    <t>Kostenanpassung gemäss Verfügung vom</t>
  </si>
  <si>
    <t xml:space="preserve">3. Sonstige Deckungsdifferenzen </t>
  </si>
  <si>
    <t>(Mehrkosten -  / Mehrerlöse +)</t>
  </si>
  <si>
    <t>= Überdeckung (+) / Unterdeckung (-)</t>
  </si>
  <si>
    <t>(Überdeckung + / Unterdeckung -)</t>
  </si>
  <si>
    <t>Deckungsdifferenz insgesamt</t>
  </si>
  <si>
    <t>Saldovortrag
aus Vorperiode</t>
  </si>
  <si>
    <t>Deckungsdifferenz</t>
  </si>
  <si>
    <t>Gesamtsaldo</t>
  </si>
  <si>
    <t xml:space="preserve">kalkulatorische </t>
  </si>
  <si>
    <t>verwendet für</t>
  </si>
  <si>
    <t xml:space="preserve">Übertrag in </t>
  </si>
  <si>
    <t>angerechnet für</t>
  </si>
  <si>
    <t>Für</t>
  </si>
  <si>
    <t>Rest</t>
  </si>
  <si>
    <t>2023 insgesamt</t>
  </si>
  <si>
    <t>Zinsen</t>
  </si>
  <si>
    <t>inkl. Zinsen 2023</t>
  </si>
  <si>
    <t>Folgeperiode</t>
  </si>
  <si>
    <t>inkl. Zinsen 2024</t>
  </si>
  <si>
    <t>inkl. Zinsen 2025</t>
  </si>
  <si>
    <t>inkl. Zinsen 2026</t>
  </si>
  <si>
    <t>Übertrag in</t>
  </si>
  <si>
    <t>inkl. Zinsen 2027</t>
  </si>
  <si>
    <t>(1. Teil DD)</t>
  </si>
  <si>
    <t>(2. Teil DD)</t>
  </si>
  <si>
    <t>(3. Teil DD)</t>
  </si>
  <si>
    <t>Übersicht 1</t>
  </si>
  <si>
    <t>inkl. Zinsen 2028</t>
  </si>
  <si>
    <t>Übersicht 2</t>
  </si>
  <si>
    <t>inkl. Zinsen 2029</t>
  </si>
  <si>
    <t>Übersicht 3</t>
  </si>
  <si>
    <t>inkl. Zinsen 2030</t>
  </si>
  <si>
    <t>Übersicht 4</t>
  </si>
  <si>
    <t>inkl. Zinsen 2031</t>
  </si>
  <si>
    <t>Zusammenfassung</t>
  </si>
  <si>
    <t>B</t>
  </si>
  <si>
    <t>C</t>
  </si>
  <si>
    <t>D</t>
  </si>
  <si>
    <t>DD - Abbau</t>
  </si>
  <si>
    <t>KoRe T2025 (DD 2023)</t>
  </si>
  <si>
    <t>Ende 2022</t>
  </si>
  <si>
    <t>Neutrale Ausbuchung</t>
  </si>
  <si>
    <t>Ende 2023 / Anfang 2024</t>
  </si>
  <si>
    <t>Ende 2024 / Anfang 2025</t>
  </si>
  <si>
    <t>Ende 2025 / Anfang 2026</t>
  </si>
  <si>
    <t>Ende 2024 /
Anfang 2025</t>
  </si>
  <si>
    <t>Ende 2026 / Anfang 2027</t>
  </si>
  <si>
    <t>Ende 2027 / Anfang 2028</t>
  </si>
  <si>
    <t>Ende 2028 / Anfang 2029</t>
  </si>
  <si>
    <t>Ende 2029 / Anfang 2030</t>
  </si>
  <si>
    <t>Ende 2030 / Anfang 2031</t>
  </si>
  <si>
    <t>Neutrale Ausbuchung - keine Wirkung auf die Tarife</t>
  </si>
  <si>
    <t>A</t>
  </si>
  <si>
    <t>Tarifneutrale Ausbuchung</t>
  </si>
  <si>
    <t>Tarife 2024</t>
  </si>
  <si>
    <t>Tarife 2025
(1. Teil DD)</t>
  </si>
  <si>
    <t>Tarife 2026
(2. Teil DD)</t>
  </si>
  <si>
    <t>Tarife 2027
(3. Teil DD)</t>
  </si>
  <si>
    <t>E</t>
  </si>
  <si>
    <t>Ende 2024 / 
Anfang 2025</t>
  </si>
  <si>
    <t>Ende 2026 / 
Anfang 2027</t>
  </si>
  <si>
    <t>Ende 2027 / 
Anfang 2028</t>
  </si>
  <si>
    <t>Ende 2028 / 
Anfang 2029</t>
  </si>
  <si>
    <t>Ende 2025 / 
Anfang 2026</t>
  </si>
  <si>
    <t>Ende 2029 / 
Anfang 2030</t>
  </si>
  <si>
    <t>Formular 5.1</t>
  </si>
  <si>
    <t>Total Deckungsdifferenz</t>
  </si>
  <si>
    <t>2024 insgesamt</t>
  </si>
  <si>
    <t>2025 insgesamt</t>
  </si>
  <si>
    <t>2024 insgesamt"</t>
  </si>
  <si>
    <t>2026 insgesamt</t>
  </si>
  <si>
    <t>2027 insgesamt</t>
  </si>
  <si>
    <t>2028 insgesamt</t>
  </si>
  <si>
    <t>WACC T2027 noch nicht publiziert</t>
  </si>
  <si>
    <t>WACC T2028 noch nicht publiziert</t>
  </si>
  <si>
    <t>Berechnung für das Geschäftsjahr t</t>
  </si>
  <si>
    <t>[%]</t>
  </si>
  <si>
    <t>angerechnet für Tarife</t>
  </si>
  <si>
    <t>Ende 2031 / Anfang 2032</t>
  </si>
  <si>
    <t>Übersicht DD 2023 bis Abbau Null</t>
  </si>
  <si>
    <t>angerechnet für
Tarife</t>
  </si>
  <si>
    <t>Übersicht 5</t>
  </si>
  <si>
    <t>Ende 2032 / Anfang 2033</t>
  </si>
  <si>
    <t>2029 insgesamt</t>
  </si>
  <si>
    <t>möglicher Rest</t>
  </si>
  <si>
    <t>Verzinsung</t>
  </si>
  <si>
    <t>WACC Netz [%]</t>
  </si>
  <si>
    <t>WACC T2027</t>
  </si>
  <si>
    <t>WACC T2026</t>
  </si>
  <si>
    <t>WACC T2025</t>
  </si>
  <si>
    <t>WACC T2028</t>
  </si>
  <si>
    <t>….</t>
  </si>
  <si>
    <t>…</t>
  </si>
  <si>
    <t>FK-Kostensatz [%]</t>
  </si>
  <si>
    <t>FK-Satz T2027 noch nicht publiziert</t>
  </si>
  <si>
    <t>FK-Satz T2028 noch nicht publiziert</t>
  </si>
  <si>
    <t>FK-Satz T2029 noch nicht publiziert</t>
  </si>
  <si>
    <t>FK-Satz T2030 noch nicht publiziert</t>
  </si>
  <si>
    <t>inkl. Zinsen 2032</t>
  </si>
  <si>
    <t>Übersicht 6</t>
  </si>
  <si>
    <t>FK-Satz T2031 noch nicht publiziert</t>
  </si>
  <si>
    <t>FK-Satz T2032 noch nicht publiziert</t>
  </si>
  <si>
    <t>FK-Satz T2033 noch nicht publiziert</t>
  </si>
  <si>
    <t>FK-Satz T2034 noch nicht publiziert</t>
  </si>
  <si>
    <t>Geschäftsjahren (IST-Werte)</t>
  </si>
  <si>
    <t>Deckungsdifferenz
(ohne Verzinsung)</t>
  </si>
  <si>
    <t>Bestände DD 
bis Ende</t>
  </si>
  <si>
    <t xml:space="preserve"> Bisherige Praxis ElCom: DD-Saldo bis 2023 (KoRe T2025)</t>
  </si>
  <si>
    <t xml:space="preserve">Regelung StromVV: jährliche-DD ab 2024 (KoRe T2026) </t>
  </si>
  <si>
    <t>Übersicht bisherige Praxis ElCom</t>
  </si>
  <si>
    <t>Bisherige Praxis ElCom</t>
  </si>
  <si>
    <t>Regelung StromVV</t>
  </si>
  <si>
    <r>
      <rPr>
        <sz val="10"/>
        <rFont val="Arial"/>
        <family val="2"/>
      </rPr>
      <t>4</t>
    </r>
    <r>
      <rPr>
        <sz val="10"/>
        <color rgb="FFFF0000"/>
        <rFont val="Arial"/>
        <family val="2"/>
      </rPr>
      <t xml:space="preserve">
WACC T2025</t>
    </r>
  </si>
  <si>
    <r>
      <rPr>
        <sz val="11"/>
        <rFont val="Arial"/>
        <family val="2"/>
      </rPr>
      <t>4</t>
    </r>
    <r>
      <rPr>
        <sz val="11"/>
        <color rgb="FFFF0000"/>
        <rFont val="Arial"/>
        <family val="2"/>
      </rPr>
      <t xml:space="preserve">
WACC T2025</t>
    </r>
  </si>
  <si>
    <t>möglicher</t>
  </si>
  <si>
    <t>Saldo DD</t>
  </si>
  <si>
    <t>Gesamte Verwendung DD [CHF]</t>
  </si>
  <si>
    <t>1. Deckungsdifferenzen Energie
Umsatzerlöse aus Energielieferung</t>
  </si>
  <si>
    <t>Verfügung der ElCom 211-00999</t>
  </si>
  <si>
    <t xml:space="preserve">Verzinsung: Zinssatz für das Jahr (t+2) </t>
  </si>
  <si>
    <r>
      <t xml:space="preserve">davon Kunden in Grundversorgung 
</t>
    </r>
    <r>
      <rPr>
        <b/>
        <sz val="10"/>
        <rFont val="Arial"/>
        <family val="2"/>
      </rPr>
      <t>[Rp/kWh]</t>
    </r>
  </si>
  <si>
    <t>Übersicht über DD und deren Abbau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</si>
</sst>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_ * #,##0.0000_ ;_ * \-#,##0.0000_ ;_ * &quot;-&quot;??_ ;_ @_ "/>
    <numFmt numFmtId="166" formatCode="0_ ;\-0\ "/>
    <numFmt numFmtId="167" formatCode="0.000000000"/>
    <numFmt numFmtId="168" formatCode="_-* #,##0.00\ _C_H_F_-;\-* #,##0.00\ _C_H_F_-;_-* &quot;-&quot;??\ _C_H_F_-;_-@_-"/>
  </numFmts>
  <fonts count="6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2"/>
      <name val="Arial"/>
      <family val="2"/>
    </font>
    <font>
      <vertAlign val="superscript"/>
      <sz val="10"/>
      <name val="Arial"/>
      <family val="2"/>
    </font>
    <font>
      <i/>
      <sz val="10"/>
      <color indexed="22"/>
      <name val="Arial"/>
      <family val="2"/>
    </font>
    <font>
      <i/>
      <sz val="8"/>
      <color indexed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FF"/>
      <name val="Arial"/>
      <family val="2"/>
    </font>
    <font>
      <sz val="10"/>
      <color rgb="FFFF00FF"/>
      <name val="Arial"/>
      <family val="2"/>
    </font>
    <font>
      <i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10"/>
      <color rgb="FFFF33CC"/>
      <name val="Arial"/>
      <family val="2"/>
    </font>
    <font>
      <i/>
      <sz val="10"/>
      <name val="Arial"/>
      <family val="2"/>
    </font>
    <font>
      <sz val="14"/>
      <color rgb="FFFF00FF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33CC"/>
      <name val="Arial"/>
      <family val="2"/>
    </font>
    <font>
      <sz val="9"/>
      <color rgb="FFFF33CC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1"/>
      <color rgb="FFFF33CC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b/>
      <sz val="10"/>
      <color rgb="FFFF33CC"/>
      <name val="Arial"/>
      <family val="2"/>
    </font>
    <font>
      <b/>
      <sz val="11"/>
      <color rgb="FFCC00FF"/>
      <name val="Arial"/>
      <family val="2"/>
    </font>
    <font>
      <sz val="12"/>
      <name val="Arial"/>
      <family val="2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darkUp">
        <fgColor theme="0"/>
        <bgColor theme="8" tint="-0.49998474074526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00B0F0"/>
      </right>
      <top style="medium">
        <color indexed="64"/>
      </top>
      <bottom/>
      <diagonal/>
    </border>
    <border>
      <left style="thin">
        <color indexed="64"/>
      </left>
      <right style="thick">
        <color rgb="FF00B0F0"/>
      </right>
      <top/>
      <bottom/>
      <diagonal/>
    </border>
    <border>
      <left style="thin">
        <color indexed="64"/>
      </left>
      <right style="thick">
        <color rgb="FF00B0F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3" fillId="0" borderId="0"/>
  </cellStyleXfs>
  <cellXfs count="475">
    <xf numFmtId="0" fontId="0" fillId="0" borderId="0" xfId="0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4" borderId="1" xfId="0" applyFont="1" applyFill="1" applyBorder="1"/>
    <xf numFmtId="0" fontId="14" fillId="0" borderId="0" xfId="0" applyFont="1"/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2" borderId="0" xfId="0" applyFont="1" applyFill="1"/>
    <xf numFmtId="14" fontId="18" fillId="0" borderId="2" xfId="0" applyNumberFormat="1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14" fontId="18" fillId="5" borderId="3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0" fillId="2" borderId="0" xfId="0" applyFont="1" applyFill="1"/>
    <xf numFmtId="0" fontId="10" fillId="0" borderId="0" xfId="0" applyFont="1"/>
    <xf numFmtId="14" fontId="18" fillId="4" borderId="9" xfId="0" applyNumberFormat="1" applyFont="1" applyFill="1" applyBorder="1" applyAlignment="1">
      <alignment horizontal="center"/>
    </xf>
    <xf numFmtId="164" fontId="17" fillId="4" borderId="8" xfId="1" applyNumberFormat="1" applyFont="1" applyFill="1" applyBorder="1" applyAlignment="1">
      <alignment horizontal="center" vertical="center"/>
    </xf>
    <xf numFmtId="164" fontId="17" fillId="4" borderId="5" xfId="1" applyNumberFormat="1" applyFont="1" applyFill="1" applyBorder="1" applyAlignment="1">
      <alignment horizontal="center" wrapText="1"/>
    </xf>
    <xf numFmtId="164" fontId="22" fillId="4" borderId="5" xfId="1" applyNumberFormat="1" applyFont="1" applyFill="1" applyBorder="1" applyAlignment="1">
      <alignment horizontal="center" wrapText="1"/>
    </xf>
    <xf numFmtId="164" fontId="17" fillId="4" borderId="1" xfId="1" applyNumberFormat="1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18" fillId="2" borderId="13" xfId="0" applyFont="1" applyFill="1" applyBorder="1" applyAlignment="1">
      <alignment vertical="center"/>
    </xf>
    <xf numFmtId="3" fontId="18" fillId="5" borderId="14" xfId="0" applyNumberFormat="1" applyFont="1" applyFill="1" applyBorder="1" applyAlignment="1" applyProtection="1">
      <alignment vertical="center"/>
      <protection locked="0"/>
    </xf>
    <xf numFmtId="43" fontId="24" fillId="4" borderId="15" xfId="1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/>
    <xf numFmtId="9" fontId="24" fillId="0" borderId="0" xfId="2" applyFont="1" applyAlignment="1">
      <alignment horizontal="center" vertical="center"/>
    </xf>
    <xf numFmtId="43" fontId="24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11" fillId="0" borderId="0" xfId="0" applyFont="1"/>
    <xf numFmtId="0" fontId="17" fillId="4" borderId="18" xfId="0" applyFont="1" applyFill="1" applyBorder="1" applyAlignment="1">
      <alignment horizontal="left" vertical="center"/>
    </xf>
    <xf numFmtId="164" fontId="17" fillId="4" borderId="8" xfId="1" applyNumberFormat="1" applyFont="1" applyFill="1" applyBorder="1" applyAlignment="1">
      <alignment horizontal="center" wrapText="1"/>
    </xf>
    <xf numFmtId="164" fontId="22" fillId="4" borderId="8" xfId="1" applyNumberFormat="1" applyFont="1" applyFill="1" applyBorder="1" applyAlignment="1">
      <alignment horizontal="center" wrapText="1"/>
    </xf>
    <xf numFmtId="164" fontId="22" fillId="4" borderId="9" xfId="1" applyNumberFormat="1" applyFont="1" applyFill="1" applyBorder="1" applyAlignment="1">
      <alignment horizontal="center" wrapText="1"/>
    </xf>
    <xf numFmtId="164" fontId="17" fillId="4" borderId="9" xfId="1" applyNumberFormat="1" applyFont="1" applyFill="1" applyBorder="1" applyAlignment="1">
      <alignment horizontal="center"/>
    </xf>
    <xf numFmtId="0" fontId="18" fillId="2" borderId="19" xfId="0" applyFont="1" applyFill="1" applyBorder="1"/>
    <xf numFmtId="3" fontId="18" fillId="5" borderId="20" xfId="0" applyNumberFormat="1" applyFont="1" applyFill="1" applyBorder="1" applyProtection="1">
      <protection locked="0"/>
    </xf>
    <xf numFmtId="9" fontId="24" fillId="4" borderId="21" xfId="2" applyFont="1" applyFill="1" applyBorder="1" applyAlignment="1">
      <alignment horizontal="center" vertical="center"/>
    </xf>
    <xf numFmtId="43" fontId="24" fillId="4" borderId="22" xfId="1" applyFont="1" applyFill="1" applyBorder="1" applyAlignment="1">
      <alignment horizontal="right" vertical="center"/>
    </xf>
    <xf numFmtId="0" fontId="18" fillId="2" borderId="19" xfId="0" quotePrefix="1" applyFont="1" applyFill="1" applyBorder="1"/>
    <xf numFmtId="9" fontId="26" fillId="4" borderId="21" xfId="2" applyFont="1" applyFill="1" applyBorder="1" applyAlignment="1">
      <alignment horizontal="right" vertical="center"/>
    </xf>
    <xf numFmtId="43" fontId="26" fillId="4" borderId="22" xfId="1" applyFont="1" applyFill="1" applyBorder="1" applyAlignment="1">
      <alignment horizontal="right" vertical="center"/>
    </xf>
    <xf numFmtId="0" fontId="18" fillId="2" borderId="0" xfId="0" applyFont="1" applyFill="1"/>
    <xf numFmtId="0" fontId="9" fillId="2" borderId="0" xfId="0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18" fillId="2" borderId="23" xfId="0" quotePrefix="1" applyFont="1" applyFill="1" applyBorder="1" applyAlignment="1">
      <alignment vertical="center"/>
    </xf>
    <xf numFmtId="3" fontId="18" fillId="5" borderId="24" xfId="0" applyNumberFormat="1" applyFont="1" applyFill="1" applyBorder="1" applyAlignment="1" applyProtection="1">
      <alignment vertical="center"/>
      <protection locked="0"/>
    </xf>
    <xf numFmtId="3" fontId="17" fillId="4" borderId="1" xfId="0" applyNumberFormat="1" applyFont="1" applyFill="1" applyBorder="1" applyAlignment="1">
      <alignment horizontal="right" vertical="center"/>
    </xf>
    <xf numFmtId="9" fontId="24" fillId="4" borderId="5" xfId="2" applyFont="1" applyFill="1" applyBorder="1" applyAlignment="1">
      <alignment horizontal="center" vertical="center"/>
    </xf>
    <xf numFmtId="43" fontId="24" fillId="4" borderId="1" xfId="1" applyFont="1" applyFill="1" applyBorder="1" applyAlignment="1">
      <alignment horizontal="right" vertical="center"/>
    </xf>
    <xf numFmtId="164" fontId="17" fillId="4" borderId="25" xfId="1" applyNumberFormat="1" applyFont="1" applyFill="1" applyBorder="1" applyAlignment="1">
      <alignment horizontal="left" vertical="center"/>
    </xf>
    <xf numFmtId="0" fontId="27" fillId="0" borderId="0" xfId="0" applyFont="1"/>
    <xf numFmtId="0" fontId="18" fillId="2" borderId="11" xfId="0" applyFont="1" applyFill="1" applyBorder="1"/>
    <xf numFmtId="3" fontId="18" fillId="5" borderId="26" xfId="0" applyNumberFormat="1" applyFont="1" applyFill="1" applyBorder="1" applyProtection="1">
      <protection locked="0"/>
    </xf>
    <xf numFmtId="3" fontId="18" fillId="4" borderId="27" xfId="2" applyNumberFormat="1" applyFont="1" applyFill="1" applyBorder="1" applyAlignment="1">
      <alignment horizontal="right" vertical="center"/>
    </xf>
    <xf numFmtId="9" fontId="24" fillId="4" borderId="27" xfId="2" applyFont="1" applyFill="1" applyBorder="1" applyAlignment="1">
      <alignment horizontal="center" vertical="center"/>
    </xf>
    <xf numFmtId="43" fontId="24" fillId="4" borderId="28" xfId="1" applyFont="1" applyFill="1" applyBorder="1" applyAlignment="1">
      <alignment horizontal="right" vertical="center"/>
    </xf>
    <xf numFmtId="3" fontId="18" fillId="5" borderId="29" xfId="0" applyNumberFormat="1" applyFont="1" applyFill="1" applyBorder="1" applyProtection="1">
      <protection locked="0"/>
    </xf>
    <xf numFmtId="3" fontId="18" fillId="4" borderId="5" xfId="2" applyNumberFormat="1" applyFont="1" applyFill="1" applyBorder="1" applyAlignment="1">
      <alignment horizontal="right" vertical="center"/>
    </xf>
    <xf numFmtId="9" fontId="28" fillId="4" borderId="5" xfId="2" applyFont="1" applyFill="1" applyBorder="1" applyAlignment="1">
      <alignment horizontal="center" vertical="center"/>
    </xf>
    <xf numFmtId="3" fontId="18" fillId="4" borderId="21" xfId="2" applyNumberFormat="1" applyFont="1" applyFill="1" applyBorder="1" applyAlignment="1">
      <alignment horizontal="right" vertical="center"/>
    </xf>
    <xf numFmtId="9" fontId="28" fillId="4" borderId="21" xfId="2" applyFont="1" applyFill="1" applyBorder="1" applyAlignment="1">
      <alignment horizontal="center" vertical="center"/>
    </xf>
    <xf numFmtId="164" fontId="17" fillId="4" borderId="30" xfId="1" applyNumberFormat="1" applyFont="1" applyFill="1" applyBorder="1" applyAlignment="1">
      <alignment horizontal="left" vertical="center"/>
    </xf>
    <xf numFmtId="3" fontId="17" fillId="4" borderId="31" xfId="0" applyNumberFormat="1" applyFont="1" applyFill="1" applyBorder="1" applyAlignment="1">
      <alignment horizontal="right"/>
    </xf>
    <xf numFmtId="3" fontId="18" fillId="5" borderId="15" xfId="0" applyNumberFormat="1" applyFont="1" applyFill="1" applyBorder="1" applyProtection="1">
      <protection locked="0"/>
    </xf>
    <xf numFmtId="9" fontId="24" fillId="4" borderId="32" xfId="2" applyFont="1" applyFill="1" applyBorder="1" applyAlignment="1">
      <alignment horizontal="center" vertical="center"/>
    </xf>
    <xf numFmtId="43" fontId="24" fillId="4" borderId="31" xfId="1" applyFont="1" applyFill="1" applyBorder="1" applyAlignment="1">
      <alignment horizontal="right" vertical="center"/>
    </xf>
    <xf numFmtId="3" fontId="17" fillId="4" borderId="33" xfId="0" applyNumberFormat="1" applyFont="1" applyFill="1" applyBorder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164" fontId="17" fillId="4" borderId="33" xfId="1" applyNumberFormat="1" applyFont="1" applyFill="1" applyBorder="1" applyAlignment="1">
      <alignment vertical="center"/>
    </xf>
    <xf numFmtId="3" fontId="18" fillId="0" borderId="40" xfId="0" applyNumberFormat="1" applyFont="1" applyBorder="1"/>
    <xf numFmtId="0" fontId="18" fillId="0" borderId="40" xfId="0" applyFont="1" applyBorder="1"/>
    <xf numFmtId="0" fontId="29" fillId="2" borderId="0" xfId="0" applyFont="1" applyFill="1"/>
    <xf numFmtId="0" fontId="18" fillId="2" borderId="0" xfId="0" applyFont="1" applyFill="1" applyAlignment="1">
      <alignment horizontal="center"/>
    </xf>
    <xf numFmtId="3" fontId="17" fillId="0" borderId="0" xfId="0" applyNumberFormat="1" applyFont="1"/>
    <xf numFmtId="0" fontId="30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3" fontId="17" fillId="4" borderId="15" xfId="0" applyNumberFormat="1" applyFont="1" applyFill="1" applyBorder="1" applyAlignment="1">
      <alignment vertical="center"/>
    </xf>
    <xf numFmtId="0" fontId="30" fillId="2" borderId="0" xfId="0" applyFont="1" applyFill="1"/>
    <xf numFmtId="0" fontId="30" fillId="0" borderId="0" xfId="0" applyFont="1"/>
    <xf numFmtId="164" fontId="29" fillId="0" borderId="0" xfId="1" quotePrefix="1" applyNumberFormat="1" applyFont="1" applyAlignment="1">
      <alignment horizontal="left" vertical="center"/>
    </xf>
    <xf numFmtId="3" fontId="17" fillId="10" borderId="33" xfId="0" applyNumberFormat="1" applyFont="1" applyFill="1" applyBorder="1" applyAlignment="1">
      <alignment vertical="center"/>
    </xf>
    <xf numFmtId="164" fontId="17" fillId="0" borderId="0" xfId="1" applyNumberFormat="1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164" fontId="19" fillId="0" borderId="0" xfId="1" applyNumberFormat="1" applyFont="1" applyAlignment="1">
      <alignment horizontal="left" vertical="center" wrapText="1"/>
    </xf>
    <xf numFmtId="164" fontId="32" fillId="0" borderId="0" xfId="3" applyNumberFormat="1" applyFont="1" applyAlignment="1">
      <alignment horizontal="right" vertical="center"/>
    </xf>
    <xf numFmtId="165" fontId="7" fillId="3" borderId="0" xfId="1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left" vertical="center"/>
    </xf>
    <xf numFmtId="2" fontId="18" fillId="5" borderId="46" xfId="0" applyNumberFormat="1" applyFont="1" applyFill="1" applyBorder="1" applyAlignment="1" applyProtection="1">
      <alignment horizontal="center"/>
      <protection locked="0"/>
    </xf>
    <xf numFmtId="3" fontId="18" fillId="3" borderId="0" xfId="0" applyNumberFormat="1" applyFont="1" applyFill="1" applyAlignment="1">
      <alignment horizontal="left" vertical="center"/>
    </xf>
    <xf numFmtId="164" fontId="32" fillId="0" borderId="0" xfId="1" applyNumberFormat="1" applyFont="1" applyAlignment="1">
      <alignment horizontal="left" vertical="center"/>
    </xf>
    <xf numFmtId="0" fontId="13" fillId="11" borderId="0" xfId="0" applyFont="1" applyFill="1" applyAlignment="1">
      <alignment vertical="top"/>
    </xf>
    <xf numFmtId="0" fontId="9" fillId="11" borderId="0" xfId="0" applyFont="1" applyFill="1" applyAlignment="1">
      <alignment vertical="top"/>
    </xf>
    <xf numFmtId="0" fontId="33" fillId="11" borderId="0" xfId="0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21" fillId="0" borderId="0" xfId="0" applyFont="1"/>
    <xf numFmtId="0" fontId="33" fillId="0" borderId="0" xfId="0" applyFont="1"/>
    <xf numFmtId="0" fontId="10" fillId="12" borderId="0" xfId="0" applyFont="1" applyFill="1"/>
    <xf numFmtId="0" fontId="14" fillId="3" borderId="0" xfId="0" applyFont="1" applyFill="1" applyAlignment="1">
      <alignment horizontal="center"/>
    </xf>
    <xf numFmtId="164" fontId="7" fillId="12" borderId="48" xfId="1" applyNumberFormat="1" applyFont="1" applyFill="1" applyBorder="1" applyAlignment="1">
      <alignment horizontal="center" wrapText="1"/>
    </xf>
    <xf numFmtId="164" fontId="7" fillId="12" borderId="49" xfId="1" applyNumberFormat="1" applyFont="1" applyFill="1" applyBorder="1" applyAlignment="1">
      <alignment horizontal="center" wrapText="1"/>
    </xf>
    <xf numFmtId="0" fontId="7" fillId="12" borderId="49" xfId="0" applyFont="1" applyFill="1" applyBorder="1" applyAlignment="1">
      <alignment horizontal="center" wrapText="1"/>
    </xf>
    <xf numFmtId="164" fontId="18" fillId="4" borderId="40" xfId="1" applyNumberFormat="1" applyFont="1" applyFill="1" applyBorder="1" applyAlignment="1">
      <alignment horizontal="center" wrapText="1"/>
    </xf>
    <xf numFmtId="164" fontId="18" fillId="4" borderId="48" xfId="1" applyNumberFormat="1" applyFont="1" applyFill="1" applyBorder="1" applyAlignment="1">
      <alignment horizontal="center" wrapText="1"/>
    </xf>
    <xf numFmtId="0" fontId="18" fillId="4" borderId="49" xfId="0" applyFont="1" applyFill="1" applyBorder="1" applyAlignment="1">
      <alignment horizontal="center" wrapText="1"/>
    </xf>
    <xf numFmtId="0" fontId="18" fillId="4" borderId="50" xfId="0" applyFont="1" applyFill="1" applyBorder="1" applyAlignment="1">
      <alignment horizontal="left" wrapText="1"/>
    </xf>
    <xf numFmtId="0" fontId="34" fillId="0" borderId="0" xfId="0" applyFont="1"/>
    <xf numFmtId="166" fontId="7" fillId="12" borderId="47" xfId="1" applyNumberFormat="1" applyFont="1" applyFill="1" applyBorder="1" applyAlignment="1">
      <alignment horizontal="center" wrapText="1"/>
    </xf>
    <xf numFmtId="164" fontId="7" fillId="12" borderId="52" xfId="1" applyNumberFormat="1" applyFont="1" applyFill="1" applyBorder="1" applyAlignment="1">
      <alignment horizontal="center" wrapText="1"/>
    </xf>
    <xf numFmtId="164" fontId="7" fillId="12" borderId="47" xfId="1" applyNumberFormat="1" applyFont="1" applyFill="1" applyBorder="1" applyAlignment="1">
      <alignment horizontal="center" wrapText="1"/>
    </xf>
    <xf numFmtId="164" fontId="7" fillId="12" borderId="47" xfId="1" applyNumberFormat="1" applyFont="1" applyFill="1" applyBorder="1" applyAlignment="1">
      <alignment horizontal="center" vertical="top" wrapText="1"/>
    </xf>
    <xf numFmtId="0" fontId="7" fillId="12" borderId="52" xfId="0" applyFont="1" applyFill="1" applyBorder="1" applyAlignment="1">
      <alignment horizontal="center" wrapText="1"/>
    </xf>
    <xf numFmtId="164" fontId="18" fillId="4" borderId="47" xfId="1" applyNumberFormat="1" applyFont="1" applyFill="1" applyBorder="1" applyAlignment="1">
      <alignment horizontal="center" vertical="top" wrapText="1"/>
    </xf>
    <xf numFmtId="0" fontId="18" fillId="4" borderId="52" xfId="0" applyFont="1" applyFill="1" applyBorder="1" applyAlignment="1">
      <alignment horizontal="center" wrapText="1"/>
    </xf>
    <xf numFmtId="0" fontId="18" fillId="6" borderId="53" xfId="0" applyFont="1" applyFill="1" applyBorder="1" applyAlignment="1">
      <alignment horizontal="left" wrapText="1"/>
    </xf>
    <xf numFmtId="164" fontId="18" fillId="4" borderId="0" xfId="1" applyNumberFormat="1" applyFont="1" applyFill="1" applyBorder="1" applyAlignment="1">
      <alignment horizontal="center" wrapText="1"/>
    </xf>
    <xf numFmtId="164" fontId="18" fillId="4" borderId="47" xfId="1" applyNumberFormat="1" applyFont="1" applyFill="1" applyBorder="1" applyAlignment="1">
      <alignment horizontal="center" wrapText="1"/>
    </xf>
    <xf numFmtId="0" fontId="18" fillId="4" borderId="53" xfId="0" applyFont="1" applyFill="1" applyBorder="1" applyAlignment="1">
      <alignment horizontal="left" vertical="center" wrapText="1"/>
    </xf>
    <xf numFmtId="0" fontId="18" fillId="4" borderId="54" xfId="0" applyFont="1" applyFill="1" applyBorder="1" applyAlignment="1">
      <alignment vertical="center"/>
    </xf>
    <xf numFmtId="4" fontId="18" fillId="5" borderId="33" xfId="0" applyNumberFormat="1" applyFont="1" applyFill="1" applyBorder="1" applyAlignment="1" applyProtection="1">
      <alignment vertical="center"/>
      <protection locked="0"/>
    </xf>
    <xf numFmtId="4" fontId="18" fillId="4" borderId="33" xfId="0" applyNumberFormat="1" applyFont="1" applyFill="1" applyBorder="1" applyAlignment="1">
      <alignment vertical="center"/>
    </xf>
    <xf numFmtId="4" fontId="18" fillId="4" borderId="33" xfId="1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1" fillId="2" borderId="0" xfId="0" applyFont="1" applyFill="1" applyAlignment="1">
      <alignment horizontal="left" vertical="top"/>
    </xf>
    <xf numFmtId="0" fontId="33" fillId="3" borderId="0" xfId="0" applyFont="1" applyFill="1"/>
    <xf numFmtId="0" fontId="35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4" applyFont="1"/>
    <xf numFmtId="0" fontId="33" fillId="0" borderId="0" xfId="0" applyFont="1" applyAlignment="1">
      <alignment horizontal="center"/>
    </xf>
    <xf numFmtId="164" fontId="18" fillId="4" borderId="49" xfId="1" applyNumberFormat="1" applyFont="1" applyFill="1" applyBorder="1" applyAlignment="1">
      <alignment horizontal="center" wrapText="1"/>
    </xf>
    <xf numFmtId="164" fontId="18" fillId="4" borderId="52" xfId="1" applyNumberFormat="1" applyFont="1" applyFill="1" applyBorder="1" applyAlignment="1">
      <alignment horizontal="center" wrapText="1"/>
    </xf>
    <xf numFmtId="4" fontId="18" fillId="10" borderId="3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36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37" fillId="11" borderId="0" xfId="0" applyFont="1" applyFill="1" applyAlignment="1">
      <alignment vertical="top"/>
    </xf>
    <xf numFmtId="0" fontId="18" fillId="8" borderId="52" xfId="0" applyFont="1" applyFill="1" applyBorder="1" applyAlignment="1">
      <alignment horizontal="center" wrapText="1"/>
    </xf>
    <xf numFmtId="4" fontId="18" fillId="4" borderId="33" xfId="1" applyNumberFormat="1" applyFont="1" applyFill="1" applyBorder="1" applyAlignment="1">
      <alignment horizontal="right" vertical="center"/>
    </xf>
    <xf numFmtId="0" fontId="38" fillId="0" borderId="0" xfId="0" applyFont="1"/>
    <xf numFmtId="4" fontId="18" fillId="13" borderId="33" xfId="1" applyNumberFormat="1" applyFont="1" applyFill="1" applyBorder="1" applyAlignment="1" applyProtection="1">
      <alignment horizontal="right" vertical="center"/>
      <protection locked="0"/>
    </xf>
    <xf numFmtId="0" fontId="18" fillId="4" borderId="48" xfId="0" applyFont="1" applyFill="1" applyBorder="1" applyAlignment="1">
      <alignment horizontal="center" wrapText="1"/>
    </xf>
    <xf numFmtId="0" fontId="39" fillId="0" borderId="0" xfId="0" applyFont="1"/>
    <xf numFmtId="0" fontId="18" fillId="4" borderId="47" xfId="0" applyFont="1" applyFill="1" applyBorder="1" applyAlignment="1">
      <alignment horizontal="center" wrapText="1"/>
    </xf>
    <xf numFmtId="4" fontId="18" fillId="5" borderId="37" xfId="1" applyNumberFormat="1" applyFont="1" applyFill="1" applyBorder="1" applyAlignment="1" applyProtection="1">
      <alignment horizontal="right" vertical="center"/>
      <protection locked="0"/>
    </xf>
    <xf numFmtId="4" fontId="18" fillId="6" borderId="39" xfId="0" applyNumberFormat="1" applyFont="1" applyFill="1" applyBorder="1" applyAlignment="1" applyProtection="1">
      <alignment horizontal="left" vertical="center" wrapText="1"/>
      <protection locked="0"/>
    </xf>
    <xf numFmtId="4" fontId="18" fillId="13" borderId="37" xfId="1" applyNumberFormat="1" applyFont="1" applyFill="1" applyBorder="1" applyAlignment="1" applyProtection="1">
      <alignment horizontal="right" vertical="center"/>
      <protection locked="0"/>
    </xf>
    <xf numFmtId="0" fontId="17" fillId="4" borderId="55" xfId="0" applyFont="1" applyFill="1" applyBorder="1" applyAlignment="1">
      <alignment horizontal="center" wrapText="1"/>
    </xf>
    <xf numFmtId="0" fontId="17" fillId="4" borderId="56" xfId="0" applyFont="1" applyFill="1" applyBorder="1" applyAlignment="1">
      <alignment horizontal="center" vertical="top" wrapText="1"/>
    </xf>
    <xf numFmtId="0" fontId="17" fillId="4" borderId="56" xfId="0" applyFont="1" applyFill="1" applyBorder="1" applyAlignment="1">
      <alignment horizontal="center" wrapText="1"/>
    </xf>
    <xf numFmtId="164" fontId="17" fillId="4" borderId="35" xfId="1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64" fontId="17" fillId="4" borderId="8" xfId="1" applyNumberFormat="1" applyFont="1" applyFill="1" applyBorder="1" applyAlignment="1">
      <alignment horizontal="left" vertical="center"/>
    </xf>
    <xf numFmtId="0" fontId="41" fillId="0" borderId="0" xfId="0" applyFont="1"/>
    <xf numFmtId="2" fontId="18" fillId="13" borderId="46" xfId="0" applyNumberFormat="1" applyFont="1" applyFill="1" applyBorder="1" applyAlignment="1" applyProtection="1">
      <alignment horizontal="center"/>
      <protection locked="0"/>
    </xf>
    <xf numFmtId="0" fontId="13" fillId="14" borderId="0" xfId="0" applyFont="1" applyFill="1" applyAlignment="1">
      <alignment wrapText="1"/>
    </xf>
    <xf numFmtId="4" fontId="18" fillId="13" borderId="15" xfId="1" applyNumberFormat="1" applyFont="1" applyFill="1" applyBorder="1" applyAlignment="1" applyProtection="1">
      <alignment horizontal="right" vertical="center"/>
      <protection locked="0"/>
    </xf>
    <xf numFmtId="167" fontId="9" fillId="0" borderId="0" xfId="0" applyNumberFormat="1" applyFont="1"/>
    <xf numFmtId="4" fontId="9" fillId="0" borderId="0" xfId="0" applyNumberFormat="1" applyFont="1"/>
    <xf numFmtId="4" fontId="17" fillId="4" borderId="46" xfId="1" applyNumberFormat="1" applyFont="1" applyFill="1" applyBorder="1" applyAlignment="1">
      <alignment horizontal="right" vertical="center"/>
    </xf>
    <xf numFmtId="4" fontId="18" fillId="4" borderId="38" xfId="1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21" fillId="0" borderId="0" xfId="0" applyFont="1" applyAlignment="1">
      <alignment vertical="center"/>
    </xf>
    <xf numFmtId="2" fontId="39" fillId="0" borderId="0" xfId="0" applyNumberFormat="1" applyFont="1"/>
    <xf numFmtId="0" fontId="33" fillId="0" borderId="0" xfId="0" applyFont="1" applyAlignment="1">
      <alignment horizontal="right" vertical="top"/>
    </xf>
    <xf numFmtId="0" fontId="42" fillId="11" borderId="0" xfId="0" applyFont="1" applyFill="1" applyAlignment="1">
      <alignment vertical="top"/>
    </xf>
    <xf numFmtId="0" fontId="43" fillId="11" borderId="0" xfId="0" applyFont="1" applyFill="1" applyAlignment="1">
      <alignment horizontal="right" vertical="top"/>
    </xf>
    <xf numFmtId="0" fontId="4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4" fillId="0" borderId="0" xfId="0" applyFont="1"/>
    <xf numFmtId="164" fontId="18" fillId="4" borderId="52" xfId="1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0" fontId="45" fillId="0" borderId="0" xfId="0" applyFont="1" applyAlignment="1">
      <alignment wrapText="1"/>
    </xf>
    <xf numFmtId="0" fontId="18" fillId="4" borderId="7" xfId="0" applyFont="1" applyFill="1" applyBorder="1" applyAlignment="1">
      <alignment vertical="center"/>
    </xf>
    <xf numFmtId="3" fontId="39" fillId="0" borderId="0" xfId="0" applyNumberFormat="1" applyFont="1" applyAlignment="1">
      <alignment horizontal="left" vertical="center"/>
    </xf>
    <xf numFmtId="0" fontId="39" fillId="2" borderId="0" xfId="0" applyFont="1" applyFill="1" applyAlignment="1">
      <alignment horizontal="center"/>
    </xf>
    <xf numFmtId="0" fontId="39" fillId="0" borderId="0" xfId="0" applyFont="1" applyAlignment="1">
      <alignment vertical="top" wrapText="1"/>
    </xf>
    <xf numFmtId="0" fontId="29" fillId="0" borderId="1" xfId="0" applyFont="1" applyBorder="1" applyAlignment="1">
      <alignment horizontal="center" vertical="top" wrapText="1"/>
    </xf>
    <xf numFmtId="0" fontId="33" fillId="0" borderId="0" xfId="0" quotePrefix="1" applyFont="1"/>
    <xf numFmtId="0" fontId="40" fillId="8" borderId="1" xfId="0" applyFont="1" applyFill="1" applyBorder="1" applyAlignment="1">
      <alignment horizontal="right"/>
    </xf>
    <xf numFmtId="4" fontId="18" fillId="8" borderId="33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top" wrapText="1"/>
    </xf>
    <xf numFmtId="4" fontId="18" fillId="8" borderId="33" xfId="1" applyNumberFormat="1" applyFont="1" applyFill="1" applyBorder="1" applyAlignment="1" applyProtection="1">
      <alignment horizontal="right" vertical="center"/>
      <protection locked="0"/>
    </xf>
    <xf numFmtId="0" fontId="18" fillId="8" borderId="1" xfId="0" applyFont="1" applyFill="1" applyBorder="1" applyAlignment="1">
      <alignment horizontal="right"/>
    </xf>
    <xf numFmtId="2" fontId="18" fillId="8" borderId="46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Alignment="1">
      <alignment horizontal="center" wrapText="1"/>
    </xf>
    <xf numFmtId="4" fontId="18" fillId="8" borderId="33" xfId="0" applyNumberFormat="1" applyFont="1" applyFill="1" applyBorder="1" applyAlignment="1" applyProtection="1">
      <alignment vertical="center"/>
      <protection locked="0"/>
    </xf>
    <xf numFmtId="4" fontId="18" fillId="8" borderId="37" xfId="1" applyNumberFormat="1" applyFont="1" applyFill="1" applyBorder="1" applyAlignment="1" applyProtection="1">
      <alignment horizontal="right" vertical="center"/>
      <protection locked="0"/>
    </xf>
    <xf numFmtId="0" fontId="7" fillId="12" borderId="52" xfId="0" applyFont="1" applyFill="1" applyBorder="1" applyAlignment="1">
      <alignment horizontal="center" vertical="top" wrapText="1"/>
    </xf>
    <xf numFmtId="164" fontId="7" fillId="12" borderId="52" xfId="1" applyNumberFormat="1" applyFont="1" applyFill="1" applyBorder="1" applyAlignment="1">
      <alignment horizontal="center" vertical="top" wrapText="1"/>
    </xf>
    <xf numFmtId="164" fontId="18" fillId="4" borderId="58" xfId="1" applyNumberFormat="1" applyFont="1" applyFill="1" applyBorder="1" applyAlignment="1">
      <alignment horizontal="center" wrapText="1"/>
    </xf>
    <xf numFmtId="164" fontId="18" fillId="4" borderId="4" xfId="1" applyNumberFormat="1" applyFont="1" applyFill="1" applyBorder="1" applyAlignment="1">
      <alignment horizontal="center" vertical="top" wrapText="1"/>
    </xf>
    <xf numFmtId="164" fontId="18" fillId="4" borderId="4" xfId="1" applyNumberFormat="1" applyFont="1" applyFill="1" applyBorder="1" applyAlignment="1">
      <alignment horizontal="center" wrapText="1"/>
    </xf>
    <xf numFmtId="0" fontId="7" fillId="12" borderId="59" xfId="0" applyFont="1" applyFill="1" applyBorder="1" applyAlignment="1">
      <alignment horizontal="center" wrapText="1"/>
    </xf>
    <xf numFmtId="0" fontId="7" fillId="12" borderId="60" xfId="0" applyFont="1" applyFill="1" applyBorder="1" applyAlignment="1">
      <alignment horizontal="center" vertical="top" wrapText="1"/>
    </xf>
    <xf numFmtId="0" fontId="7" fillId="12" borderId="61" xfId="0" applyFont="1" applyFill="1" applyBorder="1" applyAlignment="1">
      <alignment horizontal="center" wrapText="1"/>
    </xf>
    <xf numFmtId="4" fontId="18" fillId="4" borderId="57" xfId="1" applyNumberFormat="1" applyFont="1" applyFill="1" applyBorder="1" applyAlignment="1">
      <alignment horizontal="right" vertical="center"/>
    </xf>
    <xf numFmtId="164" fontId="18" fillId="4" borderId="62" xfId="1" applyNumberFormat="1" applyFont="1" applyFill="1" applyBorder="1" applyAlignment="1">
      <alignment horizontal="center" wrapText="1"/>
    </xf>
    <xf numFmtId="0" fontId="18" fillId="4" borderId="59" xfId="0" applyFont="1" applyFill="1" applyBorder="1" applyAlignment="1">
      <alignment horizontal="center" wrapText="1"/>
    </xf>
    <xf numFmtId="0" fontId="18" fillId="4" borderId="60" xfId="0" applyFont="1" applyFill="1" applyBorder="1" applyAlignment="1">
      <alignment horizontal="center" vertical="top" wrapText="1"/>
    </xf>
    <xf numFmtId="0" fontId="18" fillId="4" borderId="61" xfId="0" applyFont="1" applyFill="1" applyBorder="1" applyAlignment="1">
      <alignment horizontal="center" wrapText="1"/>
    </xf>
    <xf numFmtId="4" fontId="18" fillId="8" borderId="57" xfId="1" applyNumberFormat="1" applyFont="1" applyFill="1" applyBorder="1" applyAlignment="1">
      <alignment horizontal="right" vertical="center"/>
    </xf>
    <xf numFmtId="164" fontId="18" fillId="4" borderId="60" xfId="1" applyNumberFormat="1" applyFont="1" applyFill="1" applyBorder="1" applyAlignment="1">
      <alignment horizontal="center" wrapText="1"/>
    </xf>
    <xf numFmtId="4" fontId="18" fillId="4" borderId="57" xfId="0" applyNumberFormat="1" applyFont="1" applyFill="1" applyBorder="1" applyAlignment="1">
      <alignment vertical="center"/>
    </xf>
    <xf numFmtId="0" fontId="18" fillId="4" borderId="60" xfId="0" applyFont="1" applyFill="1" applyBorder="1" applyAlignment="1">
      <alignment horizontal="center" wrapText="1"/>
    </xf>
    <xf numFmtId="4" fontId="18" fillId="7" borderId="39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52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63" xfId="0" applyFont="1" applyFill="1" applyBorder="1" applyAlignment="1">
      <alignment horizontal="center" wrapText="1"/>
    </xf>
    <xf numFmtId="0" fontId="18" fillId="4" borderId="64" xfId="0" applyFont="1" applyFill="1" applyBorder="1" applyAlignment="1">
      <alignment horizontal="center" wrapText="1"/>
    </xf>
    <xf numFmtId="4" fontId="18" fillId="8" borderId="1" xfId="0" applyNumberFormat="1" applyFont="1" applyFill="1" applyBorder="1" applyAlignment="1">
      <alignment vertical="center"/>
    </xf>
    <xf numFmtId="4" fontId="18" fillId="8" borderId="15" xfId="0" applyNumberFormat="1" applyFont="1" applyFill="1" applyBorder="1" applyAlignment="1">
      <alignment vertical="center"/>
    </xf>
    <xf numFmtId="4" fontId="18" fillId="8" borderId="1" xfId="1" applyNumberFormat="1" applyFont="1" applyFill="1" applyBorder="1" applyAlignment="1">
      <alignment horizontal="right" vertical="center"/>
    </xf>
    <xf numFmtId="4" fontId="17" fillId="4" borderId="33" xfId="0" applyNumberFormat="1" applyFont="1" applyFill="1" applyBorder="1" applyAlignment="1">
      <alignment vertical="center"/>
    </xf>
    <xf numFmtId="4" fontId="17" fillId="4" borderId="33" xfId="1" applyNumberFormat="1" applyFont="1" applyFill="1" applyBorder="1" applyAlignment="1">
      <alignment horizontal="right" vertical="center"/>
    </xf>
    <xf numFmtId="0" fontId="33" fillId="0" borderId="0" xfId="0" applyFont="1" applyAlignment="1">
      <alignment wrapText="1"/>
    </xf>
    <xf numFmtId="4" fontId="18" fillId="8" borderId="65" xfId="1" applyNumberFormat="1" applyFont="1" applyFill="1" applyBorder="1" applyAlignment="1">
      <alignment horizontal="right" vertical="center"/>
    </xf>
    <xf numFmtId="4" fontId="18" fillId="8" borderId="67" xfId="1" applyNumberFormat="1" applyFont="1" applyFill="1" applyBorder="1" applyAlignment="1">
      <alignment horizontal="right" vertical="center"/>
    </xf>
    <xf numFmtId="164" fontId="18" fillId="8" borderId="59" xfId="1" applyNumberFormat="1" applyFont="1" applyFill="1" applyBorder="1" applyAlignment="1">
      <alignment horizontal="center" wrapText="1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10" fontId="21" fillId="3" borderId="0" xfId="0" applyNumberFormat="1" applyFont="1" applyFill="1"/>
    <xf numFmtId="0" fontId="21" fillId="3" borderId="0" xfId="0" applyFont="1" applyFill="1" applyAlignment="1">
      <alignment vertical="center"/>
    </xf>
    <xf numFmtId="0" fontId="21" fillId="3" borderId="0" xfId="0" applyFont="1" applyFill="1"/>
    <xf numFmtId="0" fontId="21" fillId="2" borderId="0" xfId="0" applyFont="1" applyFill="1" applyAlignment="1">
      <alignment vertical="center"/>
    </xf>
    <xf numFmtId="0" fontId="40" fillId="2" borderId="0" xfId="0" applyFont="1" applyFill="1"/>
    <xf numFmtId="0" fontId="4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164" fontId="17" fillId="0" borderId="0" xfId="3" applyNumberFormat="1" applyFont="1" applyAlignment="1">
      <alignment horizontal="right" vertical="center"/>
    </xf>
    <xf numFmtId="164" fontId="18" fillId="0" borderId="0" xfId="3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48" fillId="2" borderId="0" xfId="0" applyFont="1" applyFill="1"/>
    <xf numFmtId="0" fontId="18" fillId="8" borderId="64" xfId="0" applyFont="1" applyFill="1" applyBorder="1" applyAlignment="1">
      <alignment horizontal="center" wrapText="1"/>
    </xf>
    <xf numFmtId="164" fontId="18" fillId="4" borderId="59" xfId="1" applyNumberFormat="1" applyFont="1" applyFill="1" applyBorder="1" applyAlignment="1">
      <alignment horizontal="center" wrapText="1"/>
    </xf>
    <xf numFmtId="0" fontId="18" fillId="4" borderId="54" xfId="0" applyFont="1" applyFill="1" applyBorder="1" applyAlignment="1">
      <alignment horizontal="right" vertical="center"/>
    </xf>
    <xf numFmtId="164" fontId="18" fillId="4" borderId="70" xfId="1" applyNumberFormat="1" applyFont="1" applyFill="1" applyBorder="1" applyAlignment="1">
      <alignment horizontal="center" wrapText="1"/>
    </xf>
    <xf numFmtId="3" fontId="18" fillId="13" borderId="15" xfId="0" applyNumberFormat="1" applyFont="1" applyFill="1" applyBorder="1" applyAlignment="1">
      <alignment vertical="center"/>
    </xf>
    <xf numFmtId="4" fontId="17" fillId="16" borderId="33" xfId="0" applyNumberFormat="1" applyFont="1" applyFill="1" applyBorder="1" applyAlignment="1">
      <alignment vertical="center"/>
    </xf>
    <xf numFmtId="3" fontId="18" fillId="13" borderId="15" xfId="0" applyNumberFormat="1" applyFont="1" applyFill="1" applyBorder="1" applyProtection="1">
      <protection locked="0"/>
    </xf>
    <xf numFmtId="0" fontId="6" fillId="0" borderId="0" xfId="0" applyFont="1" applyAlignment="1">
      <alignment horizontal="center" vertical="center" wrapText="1"/>
    </xf>
    <xf numFmtId="4" fontId="18" fillId="13" borderId="1" xfId="0" applyNumberFormat="1" applyFont="1" applyFill="1" applyBorder="1" applyAlignment="1">
      <alignment horizontal="right"/>
    </xf>
    <xf numFmtId="9" fontId="17" fillId="4" borderId="15" xfId="2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13" fillId="3" borderId="0" xfId="0" applyFont="1" applyFill="1" applyAlignment="1">
      <alignment wrapText="1"/>
    </xf>
    <xf numFmtId="0" fontId="18" fillId="4" borderId="71" xfId="0" applyFont="1" applyFill="1" applyBorder="1" applyAlignment="1">
      <alignment horizontal="center" wrapText="1"/>
    </xf>
    <xf numFmtId="0" fontId="13" fillId="0" borderId="0" xfId="0" applyFont="1"/>
    <xf numFmtId="0" fontId="37" fillId="0" borderId="0" xfId="0" applyFont="1"/>
    <xf numFmtId="0" fontId="49" fillId="8" borderId="1" xfId="0" applyFont="1" applyFill="1" applyBorder="1"/>
    <xf numFmtId="0" fontId="49" fillId="17" borderId="22" xfId="0" applyFont="1" applyFill="1" applyBorder="1"/>
    <xf numFmtId="0" fontId="49" fillId="18" borderId="22" xfId="0" applyFont="1" applyFill="1" applyBorder="1"/>
    <xf numFmtId="0" fontId="0" fillId="0" borderId="0" xfId="0" applyAlignment="1">
      <alignment horizontal="center" vertical="center" wrapText="1"/>
    </xf>
    <xf numFmtId="0" fontId="48" fillId="3" borderId="0" xfId="0" applyFont="1" applyFill="1"/>
    <xf numFmtId="0" fontId="44" fillId="3" borderId="0" xfId="0" applyFont="1" applyFill="1"/>
    <xf numFmtId="0" fontId="33" fillId="0" borderId="0" xfId="0" applyFont="1" applyAlignment="1">
      <alignment horizontal="center" vertical="center"/>
    </xf>
    <xf numFmtId="4" fontId="32" fillId="18" borderId="1" xfId="0" applyNumberFormat="1" applyFont="1" applyFill="1" applyBorder="1"/>
    <xf numFmtId="4" fontId="49" fillId="17" borderId="28" xfId="0" applyNumberFormat="1" applyFont="1" applyFill="1" applyBorder="1" applyAlignment="1">
      <alignment horizontal="right"/>
    </xf>
    <xf numFmtId="4" fontId="49" fillId="18" borderId="1" xfId="0" applyNumberFormat="1" applyFont="1" applyFill="1" applyBorder="1" applyAlignment="1">
      <alignment horizontal="right"/>
    </xf>
    <xf numFmtId="4" fontId="49" fillId="8" borderId="33" xfId="0" applyNumberFormat="1" applyFont="1" applyFill="1" applyBorder="1" applyAlignment="1">
      <alignment horizontal="right" vertical="center"/>
    </xf>
    <xf numFmtId="4" fontId="49" fillId="8" borderId="68" xfId="0" applyNumberFormat="1" applyFont="1" applyFill="1" applyBorder="1" applyAlignment="1">
      <alignment horizontal="right" vertical="center"/>
    </xf>
    <xf numFmtId="4" fontId="51" fillId="8" borderId="33" xfId="0" applyNumberFormat="1" applyFont="1" applyFill="1" applyBorder="1"/>
    <xf numFmtId="4" fontId="51" fillId="8" borderId="33" xfId="0" applyNumberFormat="1" applyFont="1" applyFill="1" applyBorder="1" applyAlignment="1">
      <alignment horizontal="right"/>
    </xf>
    <xf numFmtId="4" fontId="51" fillId="8" borderId="68" xfId="0" applyNumberFormat="1" applyFont="1" applyFill="1" applyBorder="1"/>
    <xf numFmtId="0" fontId="52" fillId="0" borderId="0" xfId="0" applyFont="1"/>
    <xf numFmtId="0" fontId="53" fillId="0" borderId="0" xfId="0" applyFont="1"/>
    <xf numFmtId="0" fontId="49" fillId="20" borderId="22" xfId="0" applyFont="1" applyFill="1" applyBorder="1"/>
    <xf numFmtId="4" fontId="49" fillId="20" borderId="1" xfId="0" applyNumberFormat="1" applyFont="1" applyFill="1" applyBorder="1" applyAlignment="1">
      <alignment horizontal="right"/>
    </xf>
    <xf numFmtId="0" fontId="49" fillId="21" borderId="5" xfId="0" applyFont="1" applyFill="1" applyBorder="1"/>
    <xf numFmtId="4" fontId="32" fillId="21" borderId="28" xfId="0" applyNumberFormat="1" applyFont="1" applyFill="1" applyBorder="1"/>
    <xf numFmtId="0" fontId="37" fillId="0" borderId="0" xfId="0" applyFont="1" applyAlignment="1">
      <alignment horizontal="center" vertical="top"/>
    </xf>
    <xf numFmtId="4" fontId="17" fillId="8" borderId="46" xfId="1" applyNumberFormat="1" applyFont="1" applyFill="1" applyBorder="1" applyAlignment="1">
      <alignment horizontal="right" vertical="center"/>
    </xf>
    <xf numFmtId="0" fontId="48" fillId="0" borderId="0" xfId="0" applyFont="1"/>
    <xf numFmtId="0" fontId="37" fillId="14" borderId="0" xfId="0" applyFont="1" applyFill="1" applyAlignment="1">
      <alignment vertical="top"/>
    </xf>
    <xf numFmtId="4" fontId="18" fillId="8" borderId="38" xfId="1" applyNumberFormat="1" applyFont="1" applyFill="1" applyBorder="1" applyAlignment="1">
      <alignment vertical="center"/>
    </xf>
    <xf numFmtId="4" fontId="18" fillId="8" borderId="33" xfId="1" applyNumberFormat="1" applyFont="1" applyFill="1" applyBorder="1" applyAlignment="1">
      <alignment horizontal="right" vertical="center"/>
    </xf>
    <xf numFmtId="4" fontId="17" fillId="4" borderId="68" xfId="1" applyNumberFormat="1" applyFont="1" applyFill="1" applyBorder="1" applyAlignment="1">
      <alignment horizontal="right" vertical="center"/>
    </xf>
    <xf numFmtId="3" fontId="17" fillId="4" borderId="31" xfId="0" applyNumberFormat="1" applyFont="1" applyFill="1" applyBorder="1" applyAlignment="1">
      <alignment vertical="center"/>
    </xf>
    <xf numFmtId="0" fontId="18" fillId="4" borderId="46" xfId="0" applyFont="1" applyFill="1" applyBorder="1" applyAlignment="1">
      <alignment horizontal="right" vertical="center"/>
    </xf>
    <xf numFmtId="4" fontId="18" fillId="8" borderId="46" xfId="1" applyNumberFormat="1" applyFont="1" applyFill="1" applyBorder="1" applyAlignment="1">
      <alignment horizontal="right" vertical="center"/>
    </xf>
    <xf numFmtId="164" fontId="18" fillId="6" borderId="47" xfId="1" applyNumberFormat="1" applyFont="1" applyFill="1" applyBorder="1" applyAlignment="1">
      <alignment horizontal="center" wrapText="1"/>
    </xf>
    <xf numFmtId="0" fontId="54" fillId="0" borderId="0" xfId="0" applyFont="1"/>
    <xf numFmtId="4" fontId="39" fillId="0" borderId="0" xfId="0" applyNumberFormat="1" applyFont="1" applyAlignment="1">
      <alignment vertical="top" wrapText="1"/>
    </xf>
    <xf numFmtId="3" fontId="54" fillId="0" borderId="0" xfId="0" applyNumberFormat="1" applyFont="1" applyAlignment="1">
      <alignment horizontal="right" vertical="center"/>
    </xf>
    <xf numFmtId="3" fontId="54" fillId="0" borderId="0" xfId="0" applyNumberFormat="1" applyFont="1" applyAlignment="1">
      <alignment horizontal="left" vertical="center"/>
    </xf>
    <xf numFmtId="0" fontId="54" fillId="0" borderId="0" xfId="0" applyFont="1" applyAlignment="1">
      <alignment horizontal="right"/>
    </xf>
    <xf numFmtId="2" fontId="54" fillId="0" borderId="0" xfId="0" applyNumberFormat="1" applyFont="1"/>
    <xf numFmtId="0" fontId="55" fillId="0" borderId="0" xfId="0" applyFont="1"/>
    <xf numFmtId="4" fontId="18" fillId="6" borderId="33" xfId="1" applyNumberFormat="1" applyFont="1" applyFill="1" applyBorder="1" applyAlignment="1">
      <alignment vertical="center"/>
    </xf>
    <xf numFmtId="4" fontId="18" fillId="6" borderId="33" xfId="1" applyNumberFormat="1" applyFont="1" applyFill="1" applyBorder="1" applyAlignment="1">
      <alignment horizontal="right" vertical="center"/>
    </xf>
    <xf numFmtId="0" fontId="55" fillId="0" borderId="0" xfId="0" applyFont="1" applyAlignment="1">
      <alignment vertical="center"/>
    </xf>
    <xf numFmtId="0" fontId="21" fillId="15" borderId="28" xfId="0" applyFont="1" applyFill="1" applyBorder="1"/>
    <xf numFmtId="0" fontId="21" fillId="15" borderId="1" xfId="0" applyFont="1" applyFill="1" applyBorder="1"/>
    <xf numFmtId="4" fontId="18" fillId="16" borderId="65" xfId="1" applyNumberFormat="1" applyFont="1" applyFill="1" applyBorder="1" applyAlignment="1">
      <alignment horizontal="right" vertical="center"/>
    </xf>
    <xf numFmtId="0" fontId="21" fillId="15" borderId="15" xfId="0" applyFont="1" applyFill="1" applyBorder="1"/>
    <xf numFmtId="0" fontId="21" fillId="15" borderId="66" xfId="0" applyFont="1" applyFill="1" applyBorder="1"/>
    <xf numFmtId="4" fontId="18" fillId="8" borderId="1" xfId="0" applyNumberFormat="1" applyFont="1" applyFill="1" applyBorder="1" applyAlignment="1">
      <alignment horizontal="right"/>
    </xf>
    <xf numFmtId="164" fontId="18" fillId="6" borderId="60" xfId="1" applyNumberFormat="1" applyFont="1" applyFill="1" applyBorder="1" applyAlignment="1">
      <alignment horizontal="center" wrapText="1"/>
    </xf>
    <xf numFmtId="10" fontId="9" fillId="2" borderId="0" xfId="2" applyNumberFormat="1" applyFont="1" applyFill="1"/>
    <xf numFmtId="3" fontId="9" fillId="2" borderId="0" xfId="0" applyNumberFormat="1" applyFont="1" applyFill="1"/>
    <xf numFmtId="9" fontId="9" fillId="2" borderId="0" xfId="2" applyFont="1" applyFill="1"/>
    <xf numFmtId="168" fontId="14" fillId="2" borderId="0" xfId="0" applyNumberFormat="1" applyFont="1" applyFill="1"/>
    <xf numFmtId="168" fontId="18" fillId="2" borderId="0" xfId="0" applyNumberFormat="1" applyFont="1" applyFill="1"/>
    <xf numFmtId="3" fontId="18" fillId="2" borderId="0" xfId="0" applyNumberFormat="1" applyFont="1" applyFill="1"/>
    <xf numFmtId="4" fontId="32" fillId="20" borderId="1" xfId="0" applyNumberFormat="1" applyFont="1" applyFill="1" applyBorder="1"/>
    <xf numFmtId="3" fontId="18" fillId="7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/>
    </xf>
    <xf numFmtId="164" fontId="18" fillId="8" borderId="52" xfId="1" applyNumberFormat="1" applyFont="1" applyFill="1" applyBorder="1" applyAlignment="1">
      <alignment horizontal="center" wrapText="1"/>
    </xf>
    <xf numFmtId="0" fontId="21" fillId="11" borderId="0" xfId="0" applyFont="1" applyFill="1" applyAlignment="1">
      <alignment vertical="top"/>
    </xf>
    <xf numFmtId="0" fontId="21" fillId="11" borderId="0" xfId="0" applyFont="1" applyFill="1" applyAlignment="1">
      <alignment horizontal="right" vertical="top"/>
    </xf>
    <xf numFmtId="0" fontId="21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56" fillId="11" borderId="0" xfId="0" applyFont="1" applyFill="1" applyAlignment="1">
      <alignment vertical="top"/>
    </xf>
    <xf numFmtId="0" fontId="56" fillId="11" borderId="0" xfId="0" applyFont="1" applyFill="1" applyAlignment="1">
      <alignment horizontal="right" vertical="top"/>
    </xf>
    <xf numFmtId="0" fontId="56" fillId="0" borderId="0" xfId="0" applyFont="1" applyAlignment="1">
      <alignment vertical="top"/>
    </xf>
    <xf numFmtId="0" fontId="33" fillId="0" borderId="0" xfId="0" applyFont="1" applyAlignment="1">
      <alignment horizontal="center" vertical="center" wrapText="1"/>
    </xf>
    <xf numFmtId="0" fontId="18" fillId="0" borderId="45" xfId="0" applyFont="1" applyBorder="1" applyAlignment="1">
      <alignment horizontal="center"/>
    </xf>
    <xf numFmtId="0" fontId="13" fillId="0" borderId="0" xfId="0" applyFont="1" applyAlignment="1">
      <alignment wrapText="1"/>
    </xf>
    <xf numFmtId="14" fontId="14" fillId="7" borderId="33" xfId="0" applyNumberFormat="1" applyFont="1" applyFill="1" applyBorder="1" applyAlignment="1" applyProtection="1">
      <alignment horizontal="center" vertical="center"/>
      <protection locked="0"/>
    </xf>
    <xf numFmtId="0" fontId="49" fillId="17" borderId="28" xfId="0" applyFont="1" applyFill="1" applyBorder="1"/>
    <xf numFmtId="0" fontId="57" fillId="0" borderId="0" xfId="0" applyFont="1"/>
    <xf numFmtId="4" fontId="10" fillId="0" borderId="0" xfId="0" applyNumberFormat="1" applyFont="1" applyFill="1"/>
    <xf numFmtId="0" fontId="21" fillId="0" borderId="0" xfId="0" applyFont="1" applyFill="1"/>
    <xf numFmtId="0" fontId="11" fillId="2" borderId="0" xfId="0" applyFont="1" applyFill="1" applyAlignment="1">
      <alignment wrapText="1"/>
    </xf>
    <xf numFmtId="3" fontId="18" fillId="7" borderId="5" xfId="0" applyNumberFormat="1" applyFont="1" applyFill="1" applyBorder="1" applyAlignment="1" applyProtection="1">
      <alignment vertical="center"/>
      <protection locked="0"/>
    </xf>
    <xf numFmtId="3" fontId="18" fillId="7" borderId="48" xfId="0" applyNumberFormat="1" applyFont="1" applyFill="1" applyBorder="1" applyAlignment="1" applyProtection="1">
      <alignment vertical="center"/>
      <protection locked="0"/>
    </xf>
    <xf numFmtId="0" fontId="2" fillId="0" borderId="0" xfId="0" applyFont="1"/>
    <xf numFmtId="0" fontId="49" fillId="8" borderId="54" xfId="0" applyFont="1" applyFill="1" applyBorder="1"/>
    <xf numFmtId="0" fontId="49" fillId="8" borderId="33" xfId="0" applyFont="1" applyFill="1" applyBorder="1"/>
    <xf numFmtId="4" fontId="2" fillId="19" borderId="33" xfId="0" applyNumberFormat="1" applyFont="1" applyFill="1" applyBorder="1"/>
    <xf numFmtId="4" fontId="2" fillId="19" borderId="68" xfId="0" applyNumberFormat="1" applyFont="1" applyFill="1" applyBorder="1"/>
    <xf numFmtId="0" fontId="2" fillId="21" borderId="28" xfId="0" applyFont="1" applyFill="1" applyBorder="1"/>
    <xf numFmtId="4" fontId="49" fillId="21" borderId="28" xfId="0" applyNumberFormat="1" applyFont="1" applyFill="1" applyBorder="1"/>
    <xf numFmtId="4" fontId="2" fillId="19" borderId="28" xfId="0" applyNumberFormat="1" applyFont="1" applyFill="1" applyBorder="1"/>
    <xf numFmtId="4" fontId="2" fillId="8" borderId="28" xfId="0" applyNumberFormat="1" applyFont="1" applyFill="1" applyBorder="1"/>
    <xf numFmtId="4" fontId="2" fillId="21" borderId="28" xfId="0" applyNumberFormat="1" applyFont="1" applyFill="1" applyBorder="1" applyAlignment="1">
      <alignment horizontal="right"/>
    </xf>
    <xf numFmtId="4" fontId="2" fillId="0" borderId="0" xfId="0" applyNumberFormat="1" applyFont="1"/>
    <xf numFmtId="4" fontId="49" fillId="17" borderId="52" xfId="0" applyNumberFormat="1" applyFont="1" applyFill="1" applyBorder="1"/>
    <xf numFmtId="4" fontId="2" fillId="17" borderId="28" xfId="0" applyNumberFormat="1" applyFont="1" applyFill="1" applyBorder="1" applyAlignment="1">
      <alignment horizontal="right"/>
    </xf>
    <xf numFmtId="4" fontId="32" fillId="17" borderId="28" xfId="0" applyNumberFormat="1" applyFont="1" applyFill="1" applyBorder="1" applyAlignment="1">
      <alignment horizontal="right"/>
    </xf>
    <xf numFmtId="0" fontId="51" fillId="17" borderId="1" xfId="0" applyFont="1" applyFill="1" applyBorder="1"/>
    <xf numFmtId="4" fontId="58" fillId="17" borderId="1" xfId="0" applyNumberFormat="1" applyFont="1" applyFill="1" applyBorder="1"/>
    <xf numFmtId="4" fontId="51" fillId="19" borderId="28" xfId="0" applyNumberFormat="1" applyFont="1" applyFill="1" applyBorder="1"/>
    <xf numFmtId="4" fontId="51" fillId="17" borderId="28" xfId="0" applyNumberFormat="1" applyFont="1" applyFill="1" applyBorder="1" applyAlignment="1">
      <alignment horizontal="right"/>
    </xf>
    <xf numFmtId="4" fontId="59" fillId="17" borderId="28" xfId="0" applyNumberFormat="1" applyFont="1" applyFill="1" applyBorder="1" applyAlignment="1">
      <alignment horizontal="right"/>
    </xf>
    <xf numFmtId="4" fontId="49" fillId="18" borderId="22" xfId="0" applyNumberFormat="1" applyFont="1" applyFill="1" applyBorder="1"/>
    <xf numFmtId="4" fontId="2" fillId="19" borderId="1" xfId="0" applyNumberFormat="1" applyFont="1" applyFill="1" applyBorder="1"/>
    <xf numFmtId="4" fontId="2" fillId="18" borderId="1" xfId="0" applyNumberFormat="1" applyFont="1" applyFill="1" applyBorder="1" applyAlignment="1">
      <alignment horizontal="right"/>
    </xf>
    <xf numFmtId="0" fontId="58" fillId="18" borderId="52" xfId="0" applyFont="1" applyFill="1" applyBorder="1"/>
    <xf numFmtId="0" fontId="51" fillId="18" borderId="22" xfId="0" applyFont="1" applyFill="1" applyBorder="1"/>
    <xf numFmtId="4" fontId="58" fillId="18" borderId="1" xfId="0" applyNumberFormat="1" applyFont="1" applyFill="1" applyBorder="1"/>
    <xf numFmtId="4" fontId="51" fillId="19" borderId="1" xfId="0" applyNumberFormat="1" applyFont="1" applyFill="1" applyBorder="1"/>
    <xf numFmtId="4" fontId="51" fillId="18" borderId="1" xfId="0" applyNumberFormat="1" applyFont="1" applyFill="1" applyBorder="1" applyAlignment="1">
      <alignment horizontal="right"/>
    </xf>
    <xf numFmtId="4" fontId="59" fillId="18" borderId="1" xfId="0" applyNumberFormat="1" applyFont="1" applyFill="1" applyBorder="1"/>
    <xf numFmtId="4" fontId="51" fillId="0" borderId="0" xfId="0" applyNumberFormat="1" applyFont="1"/>
    <xf numFmtId="4" fontId="49" fillId="20" borderId="22" xfId="0" applyNumberFormat="1" applyFont="1" applyFill="1" applyBorder="1"/>
    <xf numFmtId="4" fontId="2" fillId="20" borderId="1" xfId="0" applyNumberFormat="1" applyFont="1" applyFill="1" applyBorder="1" applyAlignment="1">
      <alignment horizontal="right"/>
    </xf>
    <xf numFmtId="0" fontId="58" fillId="20" borderId="52" xfId="0" applyFont="1" applyFill="1" applyBorder="1"/>
    <xf numFmtId="0" fontId="51" fillId="20" borderId="1" xfId="0" applyFont="1" applyFill="1" applyBorder="1"/>
    <xf numFmtId="4" fontId="58" fillId="20" borderId="22" xfId="0" applyNumberFormat="1" applyFont="1" applyFill="1" applyBorder="1"/>
    <xf numFmtId="4" fontId="51" fillId="20" borderId="1" xfId="0" applyNumberFormat="1" applyFont="1" applyFill="1" applyBorder="1" applyAlignment="1">
      <alignment horizontal="right"/>
    </xf>
    <xf numFmtId="4" fontId="51" fillId="20" borderId="28" xfId="0" applyNumberFormat="1" applyFont="1" applyFill="1" applyBorder="1" applyAlignment="1">
      <alignment horizontal="right"/>
    </xf>
    <xf numFmtId="4" fontId="59" fillId="20" borderId="28" xfId="0" applyNumberFormat="1" applyFont="1" applyFill="1" applyBorder="1"/>
    <xf numFmtId="4" fontId="51" fillId="0" borderId="73" xfId="0" applyNumberFormat="1" applyFont="1" applyBorder="1"/>
    <xf numFmtId="4" fontId="49" fillId="17" borderId="22" xfId="0" applyNumberFormat="1" applyFont="1" applyFill="1" applyBorder="1"/>
    <xf numFmtId="0" fontId="58" fillId="17" borderId="28" xfId="0" applyFont="1" applyFill="1" applyBorder="1"/>
    <xf numFmtId="4" fontId="58" fillId="17" borderId="22" xfId="0" applyNumberFormat="1" applyFont="1" applyFill="1" applyBorder="1"/>
    <xf numFmtId="4" fontId="58" fillId="17" borderId="28" xfId="0" applyNumberFormat="1" applyFont="1" applyFill="1" applyBorder="1" applyAlignment="1">
      <alignment horizontal="right"/>
    </xf>
    <xf numFmtId="4" fontId="58" fillId="18" borderId="1" xfId="0" applyNumberFormat="1" applyFont="1" applyFill="1" applyBorder="1" applyAlignment="1">
      <alignment horizontal="right"/>
    </xf>
    <xf numFmtId="0" fontId="58" fillId="20" borderId="28" xfId="0" applyFont="1" applyFill="1" applyBorder="1"/>
    <xf numFmtId="4" fontId="58" fillId="20" borderId="1" xfId="0" applyNumberFormat="1" applyFont="1" applyFill="1" applyBorder="1"/>
    <xf numFmtId="4" fontId="58" fillId="20" borderId="1" xfId="0" applyNumberFormat="1" applyFont="1" applyFill="1" applyBorder="1" applyAlignment="1">
      <alignment horizontal="right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9" fillId="0" borderId="0" xfId="0" applyFont="1" applyFill="1"/>
    <xf numFmtId="43" fontId="18" fillId="5" borderId="3" xfId="1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3" fontId="18" fillId="5" borderId="37" xfId="0" applyNumberFormat="1" applyFont="1" applyFill="1" applyBorder="1" applyAlignment="1" applyProtection="1">
      <alignment vertical="center"/>
      <protection locked="0"/>
    </xf>
    <xf numFmtId="3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2" borderId="0" xfId="0" applyFont="1" applyFill="1" applyAlignment="1">
      <alignment horizontal="left"/>
    </xf>
    <xf numFmtId="3" fontId="17" fillId="0" borderId="0" xfId="0" applyNumberFormat="1" applyFont="1" applyAlignment="1">
      <alignment horizontal="left"/>
    </xf>
    <xf numFmtId="0" fontId="33" fillId="2" borderId="0" xfId="0" applyFont="1" applyFill="1"/>
    <xf numFmtId="0" fontId="18" fillId="17" borderId="52" xfId="0" applyFont="1" applyFill="1" applyBorder="1"/>
    <xf numFmtId="0" fontId="1" fillId="18" borderId="22" xfId="0" applyFont="1" applyFill="1" applyBorder="1"/>
    <xf numFmtId="0" fontId="1" fillId="20" borderId="22" xfId="0" applyFont="1" applyFill="1" applyBorder="1"/>
    <xf numFmtId="0" fontId="1" fillId="17" borderId="52" xfId="0" applyFont="1" applyFill="1" applyBorder="1"/>
    <xf numFmtId="0" fontId="49" fillId="8" borderId="35" xfId="0" applyFont="1" applyFill="1" applyBorder="1" applyAlignment="1">
      <alignment horizontal="center" vertical="center" wrapText="1"/>
    </xf>
    <xf numFmtId="0" fontId="49" fillId="8" borderId="38" xfId="0" applyFont="1" applyFill="1" applyBorder="1" applyAlignment="1">
      <alignment horizontal="center" vertical="center" wrapText="1"/>
    </xf>
    <xf numFmtId="0" fontId="49" fillId="8" borderId="5" xfId="0" applyFont="1" applyFill="1" applyBorder="1" applyAlignment="1">
      <alignment horizontal="center"/>
    </xf>
    <xf numFmtId="0" fontId="49" fillId="8" borderId="72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18" fillId="7" borderId="5" xfId="0" applyFont="1" applyFill="1" applyBorder="1" applyAlignment="1" applyProtection="1">
      <alignment horizontal="left" vertical="top" wrapText="1"/>
      <protection locked="0"/>
    </xf>
    <xf numFmtId="0" fontId="18" fillId="7" borderId="12" xfId="0" applyFont="1" applyFill="1" applyBorder="1" applyAlignment="1" applyProtection="1">
      <alignment horizontal="left" vertical="top" wrapText="1"/>
      <protection locked="0"/>
    </xf>
    <xf numFmtId="0" fontId="6" fillId="7" borderId="5" xfId="0" applyFont="1" applyFill="1" applyBorder="1" applyAlignment="1" applyProtection="1">
      <alignment horizontal="left" vertical="top" wrapText="1"/>
      <protection locked="0"/>
    </xf>
    <xf numFmtId="164" fontId="22" fillId="4" borderId="8" xfId="1" applyNumberFormat="1" applyFont="1" applyFill="1" applyBorder="1" applyAlignment="1">
      <alignment horizontal="left" wrapText="1"/>
    </xf>
    <xf numFmtId="0" fontId="9" fillId="0" borderId="10" xfId="0" applyFont="1" applyBorder="1" applyAlignment="1">
      <alignment horizontal="left"/>
    </xf>
    <xf numFmtId="0" fontId="18" fillId="7" borderId="16" xfId="0" applyFont="1" applyFill="1" applyBorder="1" applyAlignment="1" applyProtection="1">
      <alignment horizontal="left" vertical="center" wrapText="1"/>
      <protection locked="0"/>
    </xf>
    <xf numFmtId="0" fontId="18" fillId="7" borderId="17" xfId="0" applyFont="1" applyFill="1" applyBorder="1" applyAlignment="1" applyProtection="1">
      <alignment horizontal="left" vertical="center" wrapText="1"/>
      <protection locked="0"/>
    </xf>
    <xf numFmtId="164" fontId="17" fillId="4" borderId="7" xfId="1" applyNumberFormat="1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164" fontId="17" fillId="4" borderId="8" xfId="1" applyNumberFormat="1" applyFont="1" applyFill="1" applyBorder="1" applyAlignment="1">
      <alignment horizontal="left" vertical="center"/>
    </xf>
    <xf numFmtId="0" fontId="9" fillId="0" borderId="10" xfId="0" applyFont="1" applyBorder="1"/>
    <xf numFmtId="164" fontId="22" fillId="4" borderId="5" xfId="1" applyNumberFormat="1" applyFont="1" applyFill="1" applyBorder="1" applyAlignment="1">
      <alignment horizontal="left" wrapText="1"/>
    </xf>
    <xf numFmtId="0" fontId="9" fillId="0" borderId="12" xfId="0" applyFont="1" applyBorder="1" applyAlignment="1">
      <alignment horizontal="left"/>
    </xf>
    <xf numFmtId="164" fontId="17" fillId="4" borderId="43" xfId="1" quotePrefix="1" applyNumberFormat="1" applyFont="1" applyFill="1" applyBorder="1" applyAlignment="1">
      <alignment horizontal="left" vertical="center"/>
    </xf>
    <xf numFmtId="164" fontId="17" fillId="4" borderId="44" xfId="1" applyNumberFormat="1" applyFont="1" applyFill="1" applyBorder="1" applyAlignment="1">
      <alignment horizontal="left" vertical="center"/>
    </xf>
    <xf numFmtId="3" fontId="18" fillId="4" borderId="32" xfId="0" applyNumberFormat="1" applyFont="1" applyFill="1" applyBorder="1" applyAlignment="1">
      <alignment horizontal="left" vertical="center"/>
    </xf>
    <xf numFmtId="3" fontId="18" fillId="4" borderId="45" xfId="0" applyNumberFormat="1" applyFont="1" applyFill="1" applyBorder="1" applyAlignment="1">
      <alignment horizontal="left" vertical="center"/>
    </xf>
    <xf numFmtId="3" fontId="18" fillId="4" borderId="34" xfId="0" applyNumberFormat="1" applyFont="1" applyFill="1" applyBorder="1" applyAlignment="1">
      <alignment horizontal="left" vertical="center"/>
    </xf>
    <xf numFmtId="0" fontId="18" fillId="6" borderId="5" xfId="0" applyFont="1" applyFill="1" applyBorder="1" applyAlignment="1" applyProtection="1">
      <alignment horizontal="left" vertical="top" wrapText="1"/>
      <protection locked="0"/>
    </xf>
    <xf numFmtId="0" fontId="18" fillId="6" borderId="12" xfId="0" applyFont="1" applyFill="1" applyBorder="1" applyAlignment="1" applyProtection="1">
      <alignment horizontal="left" vertical="top" wrapText="1"/>
      <protection locked="0"/>
    </xf>
    <xf numFmtId="0" fontId="18" fillId="7" borderId="16" xfId="0" applyFont="1" applyFill="1" applyBorder="1" applyAlignment="1" applyProtection="1">
      <alignment horizontal="left" vertical="top" wrapText="1"/>
      <protection locked="0"/>
    </xf>
    <xf numFmtId="0" fontId="18" fillId="7" borderId="17" xfId="0" applyFont="1" applyFill="1" applyBorder="1" applyAlignment="1" applyProtection="1">
      <alignment horizontal="left" vertical="top" wrapText="1"/>
      <protection locked="0"/>
    </xf>
    <xf numFmtId="43" fontId="24" fillId="4" borderId="32" xfId="1" applyFont="1" applyFill="1" applyBorder="1" applyAlignment="1">
      <alignment horizontal="right" vertical="center"/>
    </xf>
    <xf numFmtId="0" fontId="9" fillId="0" borderId="34" xfId="0" applyFont="1" applyBorder="1"/>
    <xf numFmtId="164" fontId="17" fillId="4" borderId="35" xfId="1" applyNumberFormat="1" applyFont="1" applyFill="1" applyBorder="1" applyAlignment="1">
      <alignment horizontal="left" vertical="center"/>
    </xf>
    <xf numFmtId="164" fontId="17" fillId="4" borderId="36" xfId="1" applyNumberFormat="1" applyFont="1" applyFill="1" applyBorder="1" applyAlignment="1">
      <alignment horizontal="left" vertical="center"/>
    </xf>
    <xf numFmtId="0" fontId="18" fillId="7" borderId="35" xfId="0" applyFont="1" applyFill="1" applyBorder="1" applyAlignment="1" applyProtection="1">
      <alignment horizontal="left" vertical="top" wrapText="1"/>
      <protection locked="0"/>
    </xf>
    <xf numFmtId="0" fontId="18" fillId="7" borderId="36" xfId="0" applyFont="1" applyFill="1" applyBorder="1" applyAlignment="1" applyProtection="1">
      <alignment horizontal="left" vertical="top" wrapText="1"/>
      <protection locked="0"/>
    </xf>
    <xf numFmtId="0" fontId="18" fillId="7" borderId="39" xfId="0" applyFont="1" applyFill="1" applyBorder="1" applyAlignment="1" applyProtection="1">
      <alignment horizontal="left" vertical="top" wrapText="1"/>
      <protection locked="0"/>
    </xf>
    <xf numFmtId="164" fontId="18" fillId="9" borderId="41" xfId="1" applyNumberFormat="1" applyFont="1" applyFill="1" applyBorder="1" applyAlignment="1" applyProtection="1">
      <alignment horizontal="left" vertical="center"/>
      <protection locked="0"/>
    </xf>
    <xf numFmtId="164" fontId="18" fillId="9" borderId="42" xfId="1" applyNumberFormat="1" applyFont="1" applyFill="1" applyBorder="1" applyAlignment="1" applyProtection="1">
      <alignment horizontal="left" vertical="center"/>
      <protection locked="0"/>
    </xf>
    <xf numFmtId="0" fontId="18" fillId="7" borderId="9" xfId="0" applyFont="1" applyFill="1" applyBorder="1" applyAlignment="1" applyProtection="1">
      <alignment horizontal="left" vertical="top" wrapText="1"/>
      <protection locked="0"/>
    </xf>
    <xf numFmtId="0" fontId="18" fillId="7" borderId="74" xfId="0" applyFont="1" applyFill="1" applyBorder="1" applyAlignment="1" applyProtection="1">
      <alignment horizontal="left" vertical="top" wrapText="1"/>
      <protection locked="0"/>
    </xf>
    <xf numFmtId="164" fontId="18" fillId="9" borderId="25" xfId="1" applyNumberFormat="1" applyFont="1" applyFill="1" applyBorder="1" applyAlignment="1" applyProtection="1">
      <alignment horizontal="left" vertical="center"/>
      <protection locked="0"/>
    </xf>
    <xf numFmtId="164" fontId="18" fillId="9" borderId="6" xfId="1" applyNumberFormat="1" applyFont="1" applyFill="1" applyBorder="1" applyAlignment="1" applyProtection="1">
      <alignment horizontal="left" vertical="center"/>
      <protection locked="0"/>
    </xf>
    <xf numFmtId="3" fontId="18" fillId="4" borderId="37" xfId="0" applyNumberFormat="1" applyFont="1" applyFill="1" applyBorder="1" applyAlignment="1">
      <alignment horizontal="left" vertical="center"/>
    </xf>
    <xf numFmtId="3" fontId="18" fillId="4" borderId="36" xfId="0" applyNumberFormat="1" applyFont="1" applyFill="1" applyBorder="1" applyAlignment="1">
      <alignment horizontal="left" vertical="center"/>
    </xf>
    <xf numFmtId="3" fontId="18" fillId="4" borderId="39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16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7" borderId="1" xfId="0" applyFont="1" applyFill="1" applyBorder="1" applyAlignment="1" applyProtection="1">
      <alignment horizontal="left" vertical="top" wrapText="1"/>
      <protection locked="0"/>
    </xf>
    <xf numFmtId="0" fontId="18" fillId="7" borderId="65" xfId="0" applyFont="1" applyFill="1" applyBorder="1" applyAlignment="1" applyProtection="1">
      <alignment horizontal="left" vertical="top" wrapText="1"/>
      <protection locked="0"/>
    </xf>
    <xf numFmtId="164" fontId="11" fillId="4" borderId="35" xfId="1" applyNumberFormat="1" applyFont="1" applyFill="1" applyBorder="1" applyAlignment="1">
      <alignment horizontal="left" vertical="center"/>
    </xf>
    <xf numFmtId="164" fontId="11" fillId="4" borderId="38" xfId="1" applyNumberFormat="1" applyFont="1" applyFill="1" applyBorder="1" applyAlignment="1">
      <alignment horizontal="left" vertical="center"/>
    </xf>
    <xf numFmtId="3" fontId="18" fillId="6" borderId="37" xfId="0" applyNumberFormat="1" applyFont="1" applyFill="1" applyBorder="1" applyAlignment="1">
      <alignment horizontal="left" vertical="center"/>
    </xf>
    <xf numFmtId="3" fontId="18" fillId="6" borderId="36" xfId="0" applyNumberFormat="1" applyFont="1" applyFill="1" applyBorder="1" applyAlignment="1">
      <alignment horizontal="left" vertical="center"/>
    </xf>
    <xf numFmtId="3" fontId="18" fillId="6" borderId="39" xfId="0" applyNumberFormat="1" applyFont="1" applyFill="1" applyBorder="1" applyAlignment="1">
      <alignment horizontal="left" vertical="center"/>
    </xf>
    <xf numFmtId="3" fontId="19" fillId="0" borderId="40" xfId="0" applyNumberFormat="1" applyFont="1" applyBorder="1" applyAlignment="1">
      <alignment horizontal="left" vertical="top" wrapText="1"/>
    </xf>
    <xf numFmtId="164" fontId="17" fillId="0" borderId="0" xfId="3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17" fillId="4" borderId="38" xfId="1" applyNumberFormat="1" applyFont="1" applyFill="1" applyBorder="1" applyAlignment="1">
      <alignment horizontal="left" vertical="center"/>
    </xf>
    <xf numFmtId="3" fontId="6" fillId="0" borderId="47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51" xfId="0" applyFont="1" applyFill="1" applyBorder="1" applyAlignment="1">
      <alignment horizontal="left" vertical="center"/>
    </xf>
    <xf numFmtId="0" fontId="18" fillId="4" borderId="69" xfId="0" applyFont="1" applyFill="1" applyBorder="1" applyAlignment="1">
      <alignment horizontal="left" vertical="center"/>
    </xf>
    <xf numFmtId="164" fontId="32" fillId="0" borderId="0" xfId="3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wrapText="1"/>
    </xf>
    <xf numFmtId="3" fontId="18" fillId="4" borderId="38" xfId="0" applyNumberFormat="1" applyFont="1" applyFill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164" fontId="17" fillId="4" borderId="30" xfId="1" quotePrefix="1" applyNumberFormat="1" applyFont="1" applyFill="1" applyBorder="1" applyAlignment="1">
      <alignment horizontal="left" vertical="center"/>
    </xf>
    <xf numFmtId="164" fontId="17" fillId="4" borderId="62" xfId="1" applyNumberFormat="1" applyFont="1" applyFill="1" applyBorder="1" applyAlignment="1">
      <alignment horizontal="left" vertical="center"/>
    </xf>
    <xf numFmtId="3" fontId="19" fillId="0" borderId="0" xfId="0" applyNumberFormat="1" applyFont="1" applyBorder="1" applyAlignment="1">
      <alignment horizontal="left" vertical="top" wrapText="1"/>
    </xf>
    <xf numFmtId="3" fontId="18" fillId="7" borderId="37" xfId="0" applyNumberFormat="1" applyFont="1" applyFill="1" applyBorder="1" applyAlignment="1">
      <alignment horizontal="left" vertical="center"/>
    </xf>
    <xf numFmtId="3" fontId="18" fillId="7" borderId="36" xfId="0" applyNumberFormat="1" applyFont="1" applyFill="1" applyBorder="1" applyAlignment="1">
      <alignment horizontal="left" vertical="center"/>
    </xf>
    <xf numFmtId="3" fontId="18" fillId="7" borderId="39" xfId="0" applyNumberFormat="1" applyFont="1" applyFill="1" applyBorder="1" applyAlignment="1">
      <alignment horizontal="left" vertical="center"/>
    </xf>
    <xf numFmtId="0" fontId="9" fillId="0" borderId="53" xfId="0" applyFont="1" applyBorder="1" applyAlignment="1">
      <alignment horizontal="left" vertical="top" wrapText="1"/>
    </xf>
  </cellXfs>
  <cellStyles count="8">
    <cellStyle name="Komma" xfId="1" builtinId="3"/>
    <cellStyle name="Komma 2" xfId="3" xr:uid="{C93B6768-95BF-42D6-94D5-C31DB1D1010C}"/>
    <cellStyle name="Normal 2" xfId="5" xr:uid="{7B843327-4C24-4E7F-BD6C-9960167A880B}"/>
    <cellStyle name="Normal 2 2" xfId="7" xr:uid="{4F627483-F079-4D07-A3A9-EEB41D2D87AB}"/>
    <cellStyle name="Normale 2" xfId="6" xr:uid="{1ECDCE3A-27A7-4841-A9D6-ECC3F70B9F96}"/>
    <cellStyle name="Prozent" xfId="2" builtinId="5"/>
    <cellStyle name="Standard" xfId="0" builtinId="0"/>
    <cellStyle name="Standard_Vorschlag Gestehungskostenblatt Kore-Tool_Voll_d_V1" xfId="4" xr:uid="{3557B099-DA85-4DF6-99D5-3808C945418F}"/>
  </cellStyles>
  <dxfs count="223"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numFmt numFmtId="2" formatCode="0.00"/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numFmt numFmtId="2" formatCode="0.00"/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numFmt numFmtId="2" formatCode="0.00"/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numFmt numFmtId="2" formatCode="0.00"/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ill>
        <patternFill patternType="lightUp">
          <bgColor auto="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u val="none"/>
        <color indexed="12"/>
        <name val="Cambria"/>
        <scheme val="none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theme="8" tint="0.5999633777886288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CC00FF"/>
      <color rgb="FFFF33CC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5</xdr:row>
      <xdr:rowOff>66676</xdr:rowOff>
    </xdr:from>
    <xdr:to>
      <xdr:col>16</xdr:col>
      <xdr:colOff>114301</xdr:colOff>
      <xdr:row>27</xdr:row>
      <xdr:rowOff>133351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37591B35-962D-4F5E-AD99-55F2E6D9CE90}"/>
            </a:ext>
          </a:extLst>
        </xdr:cNvPr>
        <xdr:cNvGrpSpPr>
          <a:grpSpLocks/>
        </xdr:cNvGrpSpPr>
      </xdr:nvGrpSpPr>
      <xdr:grpSpPr bwMode="auto">
        <a:xfrm>
          <a:off x="76201" y="987426"/>
          <a:ext cx="11525250" cy="3794125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F19BCE8C-BA58-4CB8-A690-CAE7FC3D975F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2EC37C77-6923-41AC-8D14-EAF35BB91B36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FA6215F3-A9A3-42C5-A9D5-95696A005734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5C6C7494-6E3E-45FF-9B1D-9D24AA6D8561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14</xdr:row>
      <xdr:rowOff>71438</xdr:rowOff>
    </xdr:from>
    <xdr:to>
      <xdr:col>11</xdr:col>
      <xdr:colOff>252476</xdr:colOff>
      <xdr:row>57</xdr:row>
      <xdr:rowOff>29546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404812" y="2468563"/>
          <a:ext cx="16198914" cy="9697421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99588"/>
          <a:ext cx="304800" cy="37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416719</xdr:colOff>
      <xdr:row>14</xdr:row>
      <xdr:rowOff>59532</xdr:rowOff>
    </xdr:from>
    <xdr:to>
      <xdr:col>11</xdr:col>
      <xdr:colOff>252475</xdr:colOff>
      <xdr:row>57</xdr:row>
      <xdr:rowOff>29547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416719" y="2456657"/>
          <a:ext cx="16274319" cy="9495015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0960"/>
          <a:ext cx="304800" cy="37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392906</xdr:colOff>
      <xdr:row>14</xdr:row>
      <xdr:rowOff>47626</xdr:rowOff>
    </xdr:from>
    <xdr:to>
      <xdr:col>11</xdr:col>
      <xdr:colOff>252476</xdr:colOff>
      <xdr:row>57</xdr:row>
      <xdr:rowOff>29547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92906" y="2444751"/>
          <a:ext cx="16401320" cy="9514859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0960"/>
          <a:ext cx="304800" cy="371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59531</xdr:rowOff>
    </xdr:from>
    <xdr:to>
      <xdr:col>11</xdr:col>
      <xdr:colOff>130970</xdr:colOff>
      <xdr:row>57</xdr:row>
      <xdr:rowOff>29547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381000" y="2456656"/>
          <a:ext cx="16085345" cy="9463266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0960"/>
          <a:ext cx="304800" cy="371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14</xdr:row>
      <xdr:rowOff>47626</xdr:rowOff>
    </xdr:from>
    <xdr:to>
      <xdr:col>11</xdr:col>
      <xdr:colOff>252475</xdr:colOff>
      <xdr:row>57</xdr:row>
      <xdr:rowOff>29547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380999" y="2444751"/>
          <a:ext cx="16286226" cy="9459296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0960"/>
          <a:ext cx="304800" cy="371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14</xdr:row>
      <xdr:rowOff>59531</xdr:rowOff>
    </xdr:from>
    <xdr:to>
      <xdr:col>11</xdr:col>
      <xdr:colOff>255652</xdr:colOff>
      <xdr:row>57</xdr:row>
      <xdr:rowOff>26371</xdr:rowOff>
    </xdr:to>
    <xdr:grpSp>
      <xdr:nvGrpSpPr>
        <xdr:cNvPr id="2" name="Group 1057">
          <a:extLst>
            <a:ext uri="{FF2B5EF4-FFF2-40B4-BE49-F238E27FC236}">
              <a16:creationId xmlns:a16="http://schemas.microsoft.com/office/drawing/2014/main" id="{439764C1-9A15-40D6-8935-F89D66942B0E}"/>
            </a:ext>
          </a:extLst>
        </xdr:cNvPr>
        <xdr:cNvGrpSpPr>
          <a:grpSpLocks/>
        </xdr:cNvGrpSpPr>
      </xdr:nvGrpSpPr>
      <xdr:grpSpPr bwMode="auto">
        <a:xfrm>
          <a:off x="357187" y="2456656"/>
          <a:ext cx="16313215" cy="9499778"/>
          <a:chOff x="-3517" y="-312"/>
          <a:chExt cx="21560" cy="321"/>
        </a:xfrm>
      </xdr:grpSpPr>
      <xdr:sp macro="" textlink="">
        <xdr:nvSpPr>
          <xdr:cNvPr id="3" name="Line 1058">
            <a:extLst>
              <a:ext uri="{FF2B5EF4-FFF2-40B4-BE49-F238E27FC236}">
                <a16:creationId xmlns:a16="http://schemas.microsoft.com/office/drawing/2014/main" id="{DD38EACA-FED8-44EF-8BBD-B845EA8E8198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059">
            <a:extLst>
              <a:ext uri="{FF2B5EF4-FFF2-40B4-BE49-F238E27FC236}">
                <a16:creationId xmlns:a16="http://schemas.microsoft.com/office/drawing/2014/main" id="{05B7F0E2-EDA7-44F9-B9D1-A667F36E513A}"/>
              </a:ext>
            </a:extLst>
          </xdr:cNvPr>
          <xdr:cNvSpPr>
            <a:spLocks noChangeShapeType="1"/>
          </xdr:cNvSpPr>
        </xdr:nvSpPr>
        <xdr:spPr bwMode="auto">
          <a:xfrm>
            <a:off x="-3517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60">
            <a:extLst>
              <a:ext uri="{FF2B5EF4-FFF2-40B4-BE49-F238E27FC236}">
                <a16:creationId xmlns:a16="http://schemas.microsoft.com/office/drawing/2014/main" id="{AB824CBA-1A0E-44DC-8112-2A3C440F41A8}"/>
              </a:ext>
            </a:extLst>
          </xdr:cNvPr>
          <xdr:cNvSpPr>
            <a:spLocks noChangeShapeType="1"/>
          </xdr:cNvSpPr>
        </xdr:nvSpPr>
        <xdr:spPr bwMode="auto">
          <a:xfrm>
            <a:off x="-3517" y="9"/>
            <a:ext cx="21560" cy="0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61">
            <a:extLst>
              <a:ext uri="{FF2B5EF4-FFF2-40B4-BE49-F238E27FC236}">
                <a16:creationId xmlns:a16="http://schemas.microsoft.com/office/drawing/2014/main" id="{F2DFC20E-83F7-45AB-8CAA-35F33AF311F1}"/>
              </a:ext>
            </a:extLst>
          </xdr:cNvPr>
          <xdr:cNvSpPr>
            <a:spLocks noChangeShapeType="1"/>
          </xdr:cNvSpPr>
        </xdr:nvSpPr>
        <xdr:spPr bwMode="auto">
          <a:xfrm flipV="1">
            <a:off x="18043" y="-312"/>
            <a:ext cx="0" cy="321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38100</xdr:colOff>
      <xdr:row>0</xdr:row>
      <xdr:rowOff>60960</xdr:rowOff>
    </xdr:from>
    <xdr:to>
      <xdr:col>0</xdr:col>
      <xdr:colOff>342900</xdr:colOff>
      <xdr:row>3</xdr:row>
      <xdr:rowOff>2609</xdr:rowOff>
    </xdr:to>
    <xdr:pic>
      <xdr:nvPicPr>
        <xdr:cNvPr id="7" name="Picture 13560" descr="ElCom_d_hoch">
          <a:extLst>
            <a:ext uri="{FF2B5EF4-FFF2-40B4-BE49-F238E27FC236}">
              <a16:creationId xmlns:a16="http://schemas.microsoft.com/office/drawing/2014/main" id="{0604CA58-6913-493F-A83F-62396BF23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93" b="50618"/>
        <a:stretch>
          <a:fillRect/>
        </a:stretch>
      </xdr:blipFill>
      <xdr:spPr bwMode="auto">
        <a:xfrm>
          <a:off x="38100" y="64135"/>
          <a:ext cx="304800" cy="37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9787-85AF-4178-A76D-947DE64D34DC}">
  <sheetPr codeName="Tabelle4">
    <pageSetUpPr fitToPage="1"/>
  </sheetPr>
  <dimension ref="A2:P97"/>
  <sheetViews>
    <sheetView showGridLines="0" tabSelected="1" zoomScaleNormal="100" workbookViewId="0">
      <selection activeCell="R1" sqref="R1"/>
    </sheetView>
  </sheetViews>
  <sheetFormatPr baseColWidth="10" defaultColWidth="8.7265625" defaultRowHeight="14.5" x14ac:dyDescent="0.35"/>
  <cols>
    <col min="1" max="1" width="2.54296875" customWidth="1"/>
    <col min="2" max="2" width="6" customWidth="1"/>
    <col min="3" max="3" width="22.26953125" bestFit="1" customWidth="1"/>
    <col min="4" max="4" width="15.453125" customWidth="1"/>
    <col min="5" max="5" width="8.81640625" bestFit="1" customWidth="1"/>
    <col min="6" max="7" width="9.54296875" bestFit="1" customWidth="1"/>
    <col min="8" max="8" width="9.81640625" bestFit="1" customWidth="1"/>
    <col min="9" max="13" width="10.7265625" bestFit="1" customWidth="1"/>
    <col min="14" max="16" width="8.81640625" bestFit="1" customWidth="1"/>
  </cols>
  <sheetData>
    <row r="2" spans="1:16" ht="15.5" x14ac:dyDescent="0.35">
      <c r="B2" s="36" t="s">
        <v>161</v>
      </c>
      <c r="C2" s="274"/>
      <c r="D2" s="274"/>
      <c r="E2" s="275"/>
    </row>
    <row r="3" spans="1:16" x14ac:dyDescent="0.35"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1:16" x14ac:dyDescent="0.35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</row>
    <row r="5" spans="1:16" x14ac:dyDescent="0.35"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1:16" x14ac:dyDescent="0.35"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</row>
    <row r="7" spans="1:16" x14ac:dyDescent="0.35">
      <c r="B7" s="338"/>
      <c r="C7" s="338"/>
      <c r="D7" s="338"/>
      <c r="E7" s="402" t="s">
        <v>117</v>
      </c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4"/>
    </row>
    <row r="8" spans="1:16" x14ac:dyDescent="0.35">
      <c r="A8" s="262"/>
      <c r="B8" s="338"/>
      <c r="C8" s="338"/>
      <c r="D8" s="338"/>
      <c r="E8" s="259">
        <v>2023</v>
      </c>
      <c r="F8" s="259">
        <v>2024</v>
      </c>
      <c r="G8" s="259">
        <v>2025</v>
      </c>
      <c r="H8" s="259">
        <v>2026</v>
      </c>
      <c r="I8" s="259">
        <v>2027</v>
      </c>
      <c r="J8" s="259">
        <v>2028</v>
      </c>
      <c r="K8" s="259">
        <v>2029</v>
      </c>
      <c r="L8" s="259">
        <v>2030</v>
      </c>
      <c r="M8" s="259">
        <v>2031</v>
      </c>
      <c r="N8" s="259">
        <v>2032</v>
      </c>
      <c r="O8" s="259">
        <v>2033</v>
      </c>
      <c r="P8" s="259">
        <v>2034</v>
      </c>
    </row>
    <row r="9" spans="1:16" ht="6" customHeight="1" thickBot="1" x14ac:dyDescent="0.4">
      <c r="A9" s="262"/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</row>
    <row r="10" spans="1:16" ht="15" thickBot="1" x14ac:dyDescent="0.4">
      <c r="A10" s="262"/>
      <c r="B10" s="338"/>
      <c r="C10" s="400" t="s">
        <v>156</v>
      </c>
      <c r="D10" s="401"/>
      <c r="E10" s="269"/>
      <c r="F10" s="269">
        <f>F13</f>
        <v>-2000</v>
      </c>
      <c r="G10" s="269">
        <f>G13</f>
        <v>-1159</v>
      </c>
      <c r="H10" s="269">
        <f>H13+H16</f>
        <v>8293.2385821866665</v>
      </c>
      <c r="I10" s="269">
        <f>I13+I16+I18</f>
        <v>-27497.352764380415</v>
      </c>
      <c r="J10" s="269">
        <f>J13+J16+J18+J20</f>
        <v>-25717.219063698773</v>
      </c>
      <c r="K10" s="269">
        <f>K16+K18+K20+K22</f>
        <v>-89268.80607507145</v>
      </c>
      <c r="L10" s="269">
        <f>L18+L20+L22+L24</f>
        <v>-28584.628392075232</v>
      </c>
      <c r="M10" s="269">
        <f>M20+M22+M24+M26</f>
        <v>-29293.84221089022</v>
      </c>
      <c r="N10" s="269"/>
      <c r="O10" s="269"/>
      <c r="P10" s="270"/>
    </row>
    <row r="11" spans="1:16" ht="7.4" customHeight="1" thickBot="1" x14ac:dyDescent="0.4">
      <c r="A11" s="262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</row>
    <row r="12" spans="1:16" ht="15" thickBot="1" x14ac:dyDescent="0.4">
      <c r="A12" s="262"/>
      <c r="B12" s="338"/>
      <c r="C12" s="339" t="s">
        <v>125</v>
      </c>
      <c r="D12" s="340" t="s">
        <v>126</v>
      </c>
      <c r="E12" s="271">
        <v>3.83</v>
      </c>
      <c r="F12" s="271">
        <v>4.13</v>
      </c>
      <c r="G12" s="271">
        <f>'DD Energie 2024'!F67</f>
        <v>3.98</v>
      </c>
      <c r="H12" s="271">
        <f>'DD Energie 2024'!J67</f>
        <v>3.98</v>
      </c>
      <c r="I12" s="271">
        <f>'DD Energie 2025'!N67</f>
        <v>4.13</v>
      </c>
      <c r="J12" s="341"/>
      <c r="K12" s="341"/>
      <c r="L12" s="341"/>
      <c r="M12" s="341"/>
      <c r="N12" s="341"/>
      <c r="O12" s="341"/>
      <c r="P12" s="342"/>
    </row>
    <row r="13" spans="1:16" x14ac:dyDescent="0.35">
      <c r="A13" s="262"/>
      <c r="B13" s="278">
        <v>2023</v>
      </c>
      <c r="C13" s="343" t="s">
        <v>155</v>
      </c>
      <c r="D13" s="344">
        <f>'DD Energie 2024'!E71</f>
        <v>5000</v>
      </c>
      <c r="E13" s="345"/>
      <c r="F13" s="346">
        <f>'DD Energie 2024'!H71</f>
        <v>-2000</v>
      </c>
      <c r="G13" s="347">
        <f>'DD Energie 2024'!L71</f>
        <v>-1159</v>
      </c>
      <c r="H13" s="347">
        <f>'DD Energie 2024'!P71</f>
        <v>-1126.7897719800001</v>
      </c>
      <c r="I13" s="347">
        <f>'DD Energie 2025'!T71</f>
        <v>-1176.7114353491638</v>
      </c>
      <c r="J13" s="279">
        <f>'DD Energie 2026'!U71</f>
        <v>-7.119256739363891</v>
      </c>
      <c r="K13" s="348"/>
      <c r="L13" s="348"/>
      <c r="M13" s="348"/>
      <c r="N13" s="348"/>
      <c r="O13" s="348"/>
      <c r="P13" s="348"/>
    </row>
    <row r="14" spans="1:16" ht="7.75" customHeight="1" thickBot="1" x14ac:dyDescent="0.4"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48"/>
    </row>
    <row r="15" spans="1:16" ht="15" thickBot="1" x14ac:dyDescent="0.4">
      <c r="B15" s="338"/>
      <c r="C15" s="339" t="s">
        <v>125</v>
      </c>
      <c r="D15" s="340" t="s">
        <v>133</v>
      </c>
      <c r="E15" s="341"/>
      <c r="F15" s="341"/>
      <c r="G15" s="341"/>
      <c r="H15" s="271">
        <f>'DD Energie 2024'!D55</f>
        <v>2.25</v>
      </c>
      <c r="I15" s="271">
        <f>'DD Energie 2025'!D55</f>
        <v>2.25</v>
      </c>
      <c r="J15" s="271">
        <f>'DD Energie 2026'!D55</f>
        <v>2.25</v>
      </c>
      <c r="K15" s="271">
        <f>'DD Energie 2027'!D55</f>
        <v>2.65</v>
      </c>
      <c r="L15" s="271">
        <f>'DD Energie 2028'!D55</f>
        <v>2.8</v>
      </c>
      <c r="M15" s="271">
        <f>'DD Energie 2029'!D55</f>
        <v>2.65</v>
      </c>
      <c r="N15" s="272" t="s">
        <v>132</v>
      </c>
      <c r="O15" s="271"/>
      <c r="P15" s="273"/>
    </row>
    <row r="16" spans="1:16" x14ac:dyDescent="0.35">
      <c r="B16" s="260">
        <v>2024</v>
      </c>
      <c r="C16" s="396" t="s">
        <v>46</v>
      </c>
      <c r="D16" s="349">
        <f>'DD Energie 2024'!D51</f>
        <v>-36000</v>
      </c>
      <c r="E16" s="345"/>
      <c r="F16" s="345"/>
      <c r="G16" s="345"/>
      <c r="H16" s="350">
        <f>'DD Energie 2024'!H86</f>
        <v>9420.0283541666668</v>
      </c>
      <c r="I16" s="350">
        <f>'DD Energie 2025'!L86</f>
        <v>9314.0530351822927</v>
      </c>
      <c r="J16" s="350">
        <f>'DD Energie 2026'!P86</f>
        <v>9523.6192284738936</v>
      </c>
      <c r="K16" s="351">
        <f>'DD Energie 2027'!Q85</f>
        <v>-7.1214072998770916E-4</v>
      </c>
      <c r="L16" s="348"/>
      <c r="M16" s="348"/>
      <c r="N16" s="348"/>
      <c r="O16" s="348"/>
      <c r="P16" s="348"/>
    </row>
    <row r="17" spans="2:16" x14ac:dyDescent="0.35">
      <c r="B17" s="331"/>
      <c r="C17" s="352" t="s">
        <v>93</v>
      </c>
      <c r="D17" s="353">
        <f>H17+I17+J17+K17</f>
        <v>10037.255499999999</v>
      </c>
      <c r="E17" s="354"/>
      <c r="F17" s="354"/>
      <c r="G17" s="354"/>
      <c r="H17" s="355">
        <f>'DD Energie 2024'!H87</f>
        <v>10000</v>
      </c>
      <c r="I17" s="355">
        <f>'DD Energie 2025'!L87</f>
        <v>0</v>
      </c>
      <c r="J17" s="355">
        <f>'DD Energie 2026'!P87</f>
        <v>0</v>
      </c>
      <c r="K17" s="356">
        <f>'DD Energie 2027'!Q86</f>
        <v>37.255499999999998</v>
      </c>
      <c r="L17" s="348"/>
      <c r="M17" s="348"/>
      <c r="N17" s="348"/>
      <c r="O17" s="348"/>
      <c r="P17" s="348"/>
    </row>
    <row r="18" spans="2:16" x14ac:dyDescent="0.35">
      <c r="B18" s="261">
        <v>2025</v>
      </c>
      <c r="C18" s="397" t="s">
        <v>46</v>
      </c>
      <c r="D18" s="357">
        <f>'DD Energie 2025'!D51</f>
        <v>100001</v>
      </c>
      <c r="E18" s="358"/>
      <c r="F18" s="358"/>
      <c r="G18" s="358"/>
      <c r="H18" s="358"/>
      <c r="I18" s="359">
        <f>'DD Energie 2025'!H100</f>
        <v>-35634.694364213545</v>
      </c>
      <c r="J18" s="359">
        <f>'DD Energie 2026'!L100</f>
        <v>-35233.804052616142</v>
      </c>
      <c r="K18" s="359">
        <f>'DD Energie 2027'!P99</f>
        <v>-36450.472964049681</v>
      </c>
      <c r="L18" s="266">
        <f>'DD Energie 2028'!Q99</f>
        <v>53.26420793577563</v>
      </c>
      <c r="M18" s="348"/>
      <c r="N18" s="348"/>
      <c r="O18" s="348"/>
      <c r="P18" s="348"/>
    </row>
    <row r="19" spans="2:16" s="332" customFormat="1" ht="14.9" customHeight="1" x14ac:dyDescent="0.3">
      <c r="B19" s="360"/>
      <c r="C19" s="361" t="s">
        <v>93</v>
      </c>
      <c r="D19" s="362">
        <f>I19+J19+K19+L19</f>
        <v>0</v>
      </c>
      <c r="E19" s="363"/>
      <c r="F19" s="363"/>
      <c r="G19" s="363"/>
      <c r="H19" s="363"/>
      <c r="I19" s="364">
        <f>'DD Energie 2025'!H101</f>
        <v>0</v>
      </c>
      <c r="J19" s="364">
        <f>'DD Energie 2026'!L101</f>
        <v>0</v>
      </c>
      <c r="K19" s="364">
        <f>'DD Energie 2027'!P100</f>
        <v>0</v>
      </c>
      <c r="L19" s="365">
        <f>'DD Energie 2028'!Q100</f>
        <v>0</v>
      </c>
      <c r="M19" s="366"/>
      <c r="N19" s="366"/>
      <c r="O19" s="366"/>
      <c r="P19" s="366"/>
    </row>
    <row r="20" spans="2:16" x14ac:dyDescent="0.35">
      <c r="B20" s="276">
        <v>2026</v>
      </c>
      <c r="C20" s="398" t="s">
        <v>46</v>
      </c>
      <c r="D20" s="367">
        <f>'DD Energie 2026'!D51</f>
        <v>-0.23858218663372099</v>
      </c>
      <c r="E20" s="358"/>
      <c r="F20" s="358"/>
      <c r="G20" s="358"/>
      <c r="H20" s="358"/>
      <c r="I20" s="358"/>
      <c r="J20" s="368">
        <f>'DD Energie 2026'!H114</f>
        <v>8.5017182842555591E-2</v>
      </c>
      <c r="K20" s="368">
        <f>'DD Energie 2027'!L113</f>
        <v>8.4890413441235255E-2</v>
      </c>
      <c r="L20" s="368">
        <f>'DD Energie 2028'!P113</f>
        <v>8.752238840293107E-2</v>
      </c>
      <c r="M20" s="314">
        <f>'DD Energie 2029'!Q113</f>
        <v>1.2770776517938287E-4</v>
      </c>
      <c r="N20" s="366"/>
      <c r="O20" s="348"/>
      <c r="P20" s="348"/>
    </row>
    <row r="21" spans="2:16" s="332" customFormat="1" ht="14.9" customHeight="1" x14ac:dyDescent="0.3">
      <c r="B21" s="369"/>
      <c r="C21" s="370" t="s">
        <v>93</v>
      </c>
      <c r="D21" s="371">
        <f>J21+K21+L21+M21</f>
        <v>0</v>
      </c>
      <c r="E21" s="363"/>
      <c r="F21" s="363"/>
      <c r="G21" s="363"/>
      <c r="H21" s="363"/>
      <c r="I21" s="363"/>
      <c r="J21" s="372">
        <f>'DD Energie 2026'!H115</f>
        <v>0</v>
      </c>
      <c r="K21" s="373">
        <f>'DD Energie 2027'!L114</f>
        <v>0</v>
      </c>
      <c r="L21" s="373">
        <f>'DD Energie 2028'!P114</f>
        <v>0</v>
      </c>
      <c r="M21" s="374">
        <f>'DD Energie 2029'!Q114</f>
        <v>0</v>
      </c>
      <c r="N21" s="375"/>
      <c r="O21" s="366"/>
      <c r="P21" s="366"/>
    </row>
    <row r="22" spans="2:16" x14ac:dyDescent="0.35">
      <c r="B22" s="260">
        <v>2027</v>
      </c>
      <c r="C22" s="399" t="s">
        <v>46</v>
      </c>
      <c r="D22" s="376">
        <f>'DD Energie 2027'!D51</f>
        <v>146497.3527643804</v>
      </c>
      <c r="E22" s="358"/>
      <c r="F22" s="358"/>
      <c r="G22" s="358"/>
      <c r="H22" s="358"/>
      <c r="I22" s="358"/>
      <c r="J22" s="358"/>
      <c r="K22" s="350">
        <f>'DD Energie 2027'!H127</f>
        <v>-52818.417289294477</v>
      </c>
      <c r="L22" s="350">
        <f>'DD Energie 2028'!L127</f>
        <v>-52310.67550955886</v>
      </c>
      <c r="M22" s="350">
        <f>'DD Energie 2029'!P127</f>
        <v>-53540.205370453521</v>
      </c>
      <c r="N22" s="267" t="s">
        <v>132</v>
      </c>
      <c r="O22" s="348"/>
      <c r="P22" s="348"/>
    </row>
    <row r="23" spans="2:16" s="332" customFormat="1" ht="14.9" customHeight="1" x14ac:dyDescent="0.3">
      <c r="B23" s="377"/>
      <c r="C23" s="352" t="s">
        <v>93</v>
      </c>
      <c r="D23" s="378">
        <f>K23+L23+M23+N23</f>
        <v>0</v>
      </c>
      <c r="E23" s="363"/>
      <c r="F23" s="363"/>
      <c r="G23" s="363"/>
      <c r="H23" s="363"/>
      <c r="I23" s="363"/>
      <c r="J23" s="363"/>
      <c r="K23" s="355">
        <f>'DD Energie 2027'!H128</f>
        <v>0</v>
      </c>
      <c r="L23" s="355">
        <f>'DD Energie 2028'!L128</f>
        <v>0</v>
      </c>
      <c r="M23" s="355">
        <f>'DD Energie 2029'!P128</f>
        <v>0</v>
      </c>
      <c r="N23" s="379"/>
      <c r="O23" s="366"/>
      <c r="P23" s="366"/>
    </row>
    <row r="24" spans="2:16" x14ac:dyDescent="0.35">
      <c r="B24" s="261">
        <v>2028</v>
      </c>
      <c r="C24" s="397" t="s">
        <v>46</v>
      </c>
      <c r="D24" s="357">
        <f>'DD Energie 2028'!D51</f>
        <v>-84297.019449779997</v>
      </c>
      <c r="E24" s="358"/>
      <c r="F24" s="358"/>
      <c r="G24" s="358"/>
      <c r="H24" s="358"/>
      <c r="I24" s="358"/>
      <c r="J24" s="358"/>
      <c r="K24" s="358"/>
      <c r="L24" s="359">
        <f>'DD Energie 2028'!H141</f>
        <v>23672.695387159452</v>
      </c>
      <c r="M24" s="359">
        <f>'DD Energie 2029'!L141</f>
        <v>13307.219367227928</v>
      </c>
      <c r="N24" s="359" t="s">
        <v>131</v>
      </c>
      <c r="O24" s="268" t="s">
        <v>132</v>
      </c>
      <c r="P24" s="348"/>
    </row>
    <row r="25" spans="2:16" s="332" customFormat="1" ht="14.9" customHeight="1" x14ac:dyDescent="0.3">
      <c r="B25" s="360"/>
      <c r="C25" s="361" t="s">
        <v>93</v>
      </c>
      <c r="D25" s="362">
        <f>L25+M25+N25+O25</f>
        <v>40000</v>
      </c>
      <c r="E25" s="363"/>
      <c r="F25" s="363"/>
      <c r="G25" s="363"/>
      <c r="H25" s="363"/>
      <c r="I25" s="363"/>
      <c r="J25" s="363"/>
      <c r="K25" s="363"/>
      <c r="L25" s="364">
        <f>'DD Energie 2028'!H142</f>
        <v>20000</v>
      </c>
      <c r="M25" s="364">
        <f>'DD Energie 2029'!L142</f>
        <v>20000</v>
      </c>
      <c r="N25" s="364"/>
      <c r="O25" s="380"/>
      <c r="P25" s="366"/>
    </row>
    <row r="26" spans="2:16" x14ac:dyDescent="0.35">
      <c r="B26" s="276">
        <v>2029</v>
      </c>
      <c r="C26" s="398" t="s">
        <v>46</v>
      </c>
      <c r="D26" s="367">
        <f>'DD Energie 2029'!D51</f>
        <v>-39831.195349209942</v>
      </c>
      <c r="E26" s="358"/>
      <c r="F26" s="358"/>
      <c r="G26" s="358"/>
      <c r="H26" s="358"/>
      <c r="I26" s="358"/>
      <c r="J26" s="358"/>
      <c r="K26" s="358"/>
      <c r="L26" s="358"/>
      <c r="M26" s="368">
        <f>'DD Energie 2029'!H155</f>
        <v>10939.143664627609</v>
      </c>
      <c r="N26" s="368" t="s">
        <v>132</v>
      </c>
      <c r="O26" s="368" t="s">
        <v>132</v>
      </c>
      <c r="P26" s="277" t="s">
        <v>132</v>
      </c>
    </row>
    <row r="27" spans="2:16" s="332" customFormat="1" ht="14.9" customHeight="1" x14ac:dyDescent="0.3">
      <c r="B27" s="381"/>
      <c r="C27" s="370" t="s">
        <v>93</v>
      </c>
      <c r="D27" s="382">
        <f>J27+K27+L27+M27</f>
        <v>10000</v>
      </c>
      <c r="E27" s="363"/>
      <c r="F27" s="363"/>
      <c r="G27" s="363"/>
      <c r="H27" s="363"/>
      <c r="I27" s="363"/>
      <c r="J27" s="363"/>
      <c r="K27" s="363"/>
      <c r="L27" s="363"/>
      <c r="M27" s="372">
        <f>'DD Energie 2029'!H156</f>
        <v>10000</v>
      </c>
      <c r="N27" s="372"/>
      <c r="O27" s="372"/>
      <c r="P27" s="383"/>
    </row>
    <row r="28" spans="2:16" x14ac:dyDescent="0.35"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</row>
    <row r="29" spans="2:16" x14ac:dyDescent="0.35"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</row>
    <row r="30" spans="2:16" x14ac:dyDescent="0.35"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</row>
    <row r="31" spans="2:16" x14ac:dyDescent="0.35"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</row>
    <row r="32" spans="2:16" x14ac:dyDescent="0.35"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</row>
    <row r="33" spans="2:16" x14ac:dyDescent="0.35"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</row>
    <row r="34" spans="2:16" x14ac:dyDescent="0.35"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</row>
    <row r="35" spans="2:16" x14ac:dyDescent="0.35"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</row>
    <row r="36" spans="2:16" x14ac:dyDescent="0.35"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</row>
    <row r="37" spans="2:16" x14ac:dyDescent="0.35"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</row>
    <row r="38" spans="2:16" x14ac:dyDescent="0.35"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</row>
    <row r="39" spans="2:16" x14ac:dyDescent="0.35"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</row>
    <row r="40" spans="2:16" x14ac:dyDescent="0.35"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</row>
    <row r="41" spans="2:16" x14ac:dyDescent="0.35"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</row>
    <row r="42" spans="2:16" x14ac:dyDescent="0.35"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</row>
    <row r="43" spans="2:16" x14ac:dyDescent="0.35"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</row>
    <row r="44" spans="2:16" x14ac:dyDescent="0.35"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</row>
    <row r="45" spans="2:16" x14ac:dyDescent="0.35"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</row>
    <row r="46" spans="2:16" x14ac:dyDescent="0.35"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</row>
    <row r="47" spans="2:16" x14ac:dyDescent="0.35"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</row>
    <row r="48" spans="2:16" x14ac:dyDescent="0.35"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</row>
    <row r="49" spans="2:16" x14ac:dyDescent="0.35">
      <c r="B49" s="338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</row>
    <row r="50" spans="2:16" x14ac:dyDescent="0.35">
      <c r="B50" s="338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</row>
    <row r="51" spans="2:16" x14ac:dyDescent="0.35"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</row>
    <row r="52" spans="2:16" x14ac:dyDescent="0.35"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</row>
    <row r="53" spans="2:16" x14ac:dyDescent="0.35"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</row>
    <row r="54" spans="2:16" x14ac:dyDescent="0.35"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</row>
    <row r="55" spans="2:16" x14ac:dyDescent="0.35"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</row>
    <row r="56" spans="2:16" x14ac:dyDescent="0.35"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</row>
    <row r="57" spans="2:16" x14ac:dyDescent="0.35"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</row>
    <row r="58" spans="2:16" x14ac:dyDescent="0.35"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</row>
    <row r="59" spans="2:16" x14ac:dyDescent="0.35"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</row>
    <row r="60" spans="2:16" x14ac:dyDescent="0.35"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</row>
    <row r="61" spans="2:16" x14ac:dyDescent="0.35"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</row>
    <row r="62" spans="2:16" x14ac:dyDescent="0.35"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</row>
    <row r="63" spans="2:16" x14ac:dyDescent="0.35"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38"/>
    </row>
    <row r="64" spans="2:16" x14ac:dyDescent="0.35"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</row>
    <row r="65" spans="2:16" x14ac:dyDescent="0.35">
      <c r="B65" s="338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</row>
    <row r="66" spans="2:16" x14ac:dyDescent="0.35">
      <c r="B66" s="338"/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8"/>
    </row>
    <row r="67" spans="2:16" x14ac:dyDescent="0.35">
      <c r="B67" s="338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8"/>
    </row>
    <row r="68" spans="2:16" x14ac:dyDescent="0.35"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</row>
    <row r="69" spans="2:16" x14ac:dyDescent="0.35"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</row>
    <row r="70" spans="2:16" x14ac:dyDescent="0.35">
      <c r="B70" s="338"/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</row>
    <row r="71" spans="2:16" x14ac:dyDescent="0.35"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</row>
    <row r="72" spans="2:16" x14ac:dyDescent="0.35">
      <c r="B72" s="338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338"/>
      <c r="P72" s="338"/>
    </row>
    <row r="73" spans="2:16" x14ac:dyDescent="0.35">
      <c r="B73" s="338"/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</row>
    <row r="74" spans="2:16" x14ac:dyDescent="0.35"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</row>
    <row r="75" spans="2:16" x14ac:dyDescent="0.35"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</row>
    <row r="76" spans="2:16" x14ac:dyDescent="0.35"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</row>
    <row r="77" spans="2:16" x14ac:dyDescent="0.35"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</row>
    <row r="78" spans="2:16" x14ac:dyDescent="0.35"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</row>
    <row r="79" spans="2:16" x14ac:dyDescent="0.35"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</row>
    <row r="80" spans="2:16" x14ac:dyDescent="0.35"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</row>
    <row r="81" spans="2:16" x14ac:dyDescent="0.35"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</row>
    <row r="82" spans="2:16" x14ac:dyDescent="0.35"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</row>
    <row r="83" spans="2:16" x14ac:dyDescent="0.35"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</row>
    <row r="84" spans="2:16" x14ac:dyDescent="0.35"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</row>
    <row r="85" spans="2:16" x14ac:dyDescent="0.35">
      <c r="B85" s="338"/>
      <c r="C85" s="338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</row>
    <row r="86" spans="2:16" x14ac:dyDescent="0.35">
      <c r="B86" s="338"/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</row>
    <row r="87" spans="2:16" x14ac:dyDescent="0.35"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</row>
    <row r="88" spans="2:16" x14ac:dyDescent="0.35"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</row>
    <row r="89" spans="2:16" x14ac:dyDescent="0.35"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</row>
    <row r="90" spans="2:16" x14ac:dyDescent="0.35">
      <c r="B90" s="338"/>
      <c r="C90" s="338"/>
      <c r="D90" s="338"/>
      <c r="E90" s="338"/>
      <c r="F90" s="338"/>
      <c r="G90" s="338"/>
      <c r="H90" s="338"/>
      <c r="I90" s="338"/>
      <c r="J90" s="338"/>
      <c r="K90" s="338"/>
      <c r="L90" s="338"/>
      <c r="M90" s="338"/>
      <c r="N90" s="338"/>
      <c r="O90" s="338"/>
      <c r="P90" s="338"/>
    </row>
    <row r="91" spans="2:16" x14ac:dyDescent="0.35">
      <c r="B91" s="338"/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</row>
    <row r="92" spans="2:16" x14ac:dyDescent="0.35">
      <c r="B92" s="338"/>
      <c r="C92" s="338"/>
      <c r="D92" s="338"/>
      <c r="E92" s="338"/>
      <c r="F92" s="338"/>
      <c r="G92" s="338"/>
      <c r="H92" s="338"/>
      <c r="I92" s="338"/>
      <c r="J92" s="338"/>
      <c r="K92" s="338"/>
      <c r="L92" s="338"/>
      <c r="M92" s="338"/>
      <c r="N92" s="338"/>
      <c r="O92" s="338"/>
      <c r="P92" s="338"/>
    </row>
    <row r="93" spans="2:16" x14ac:dyDescent="0.35">
      <c r="B93" s="338"/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</row>
    <row r="94" spans="2:16" x14ac:dyDescent="0.35">
      <c r="B94" s="338"/>
      <c r="C94" s="338"/>
      <c r="D94" s="338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</row>
    <row r="95" spans="2:16" x14ac:dyDescent="0.35">
      <c r="B95" s="338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</row>
    <row r="96" spans="2:16" x14ac:dyDescent="0.35">
      <c r="B96" s="338"/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</row>
    <row r="97" spans="2:16" x14ac:dyDescent="0.35">
      <c r="B97" s="338"/>
      <c r="C97" s="338"/>
      <c r="D97" s="338"/>
      <c r="E97" s="338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338"/>
    </row>
  </sheetData>
  <mergeCells count="2">
    <mergeCell ref="C10:D10"/>
    <mergeCell ref="E7:P7"/>
  </mergeCells>
  <phoneticPr fontId="50" type="noConversion"/>
  <pageMargins left="0.59055118110236227" right="0.39370078740157483" top="0.78740157480314965" bottom="0.59055118110236227" header="0.31496062992125984" footer="0.31496062992125984"/>
  <pageSetup paperSize="9" scale="79" orientation="landscape" r:id="rId1"/>
  <headerFooter>
    <oddHeader>&amp;C&amp;D</oddHeader>
    <oddFooter>&amp;LÜbersicht Deckungsdifferenzen 2024 bis 2029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D023-77D8-457C-B60E-77038B643B69}">
  <sheetPr codeName="Feuil4">
    <outlinePr summaryBelow="0" summaryRight="0"/>
    <pageSetUpPr fitToPage="1"/>
  </sheetPr>
  <dimension ref="A1:AA103"/>
  <sheetViews>
    <sheetView showGridLines="0" zoomScale="80" zoomScaleNormal="80" zoomScaleSheetLayoutView="90" workbookViewId="0">
      <selection activeCell="C8" sqref="C8"/>
    </sheetView>
  </sheetViews>
  <sheetFormatPr baseColWidth="10" defaultColWidth="11" defaultRowHeight="14" x14ac:dyDescent="0.3"/>
  <cols>
    <col min="1" max="1" width="7.81640625" style="2" customWidth="1"/>
    <col min="2" max="2" width="54.5429687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10" width="18.7265625" style="2" customWidth="1"/>
    <col min="11" max="11" width="17.54296875" style="2" customWidth="1"/>
    <col min="12" max="13" width="17.453125" style="2" customWidth="1"/>
    <col min="14" max="14" width="18.72656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2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1"/>
      <c r="W1" s="1"/>
    </row>
    <row r="2" spans="1:27" ht="15.5" x14ac:dyDescent="0.35">
      <c r="A2" s="1"/>
      <c r="B2" s="3" t="str">
        <f>"Kostenrechnung für Tarife "&amp;C8+2</f>
        <v>Kostenrechnung für Tarife 2026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  <c r="Z2" s="103"/>
      <c r="AA2" s="103"/>
    </row>
    <row r="3" spans="1:27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  <c r="Z3" s="103"/>
      <c r="AA3" s="103"/>
    </row>
    <row r="4" spans="1:27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20.25" customHeight="1" x14ac:dyDescent="0.4">
      <c r="A5" s="1"/>
      <c r="B5" s="4" t="str">
        <f>"Deckungsdifferenzen (DD) Energie "&amp;C8</f>
        <v>Deckungsdifferenzen (DD) Energie 2024</v>
      </c>
      <c r="C5" s="1"/>
      <c r="D5" s="1"/>
      <c r="E5" s="243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  <c r="Z5" s="103"/>
      <c r="AA5" s="103"/>
    </row>
    <row r="6" spans="1:27" x14ac:dyDescent="0.3">
      <c r="A6" s="1"/>
      <c r="B6" s="5" t="s">
        <v>105</v>
      </c>
      <c r="C6" s="1"/>
      <c r="D6" s="1"/>
      <c r="E6" s="243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  <c r="Z6" s="103"/>
      <c r="AA6" s="103"/>
    </row>
    <row r="7" spans="1:27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  <c r="Z7" s="103"/>
      <c r="AA7" s="103"/>
    </row>
    <row r="8" spans="1:27" s="9" customFormat="1" ht="15" customHeight="1" x14ac:dyDescent="0.3">
      <c r="B8" s="12" t="s">
        <v>115</v>
      </c>
      <c r="C8" s="8">
        <v>2024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  <c r="Z8" s="31"/>
      <c r="AA8" s="31"/>
    </row>
    <row r="9" spans="1:27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  <c r="Z9" s="31"/>
      <c r="AA9" s="31"/>
    </row>
    <row r="10" spans="1:27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  <c r="Z10" s="31"/>
      <c r="AA10" s="31"/>
    </row>
    <row r="11" spans="1:27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311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  <c r="Z11" s="31"/>
      <c r="AA11" s="31"/>
    </row>
    <row r="12" spans="1:27" ht="15" customHeight="1" x14ac:dyDescent="0.3">
      <c r="A12" s="1"/>
      <c r="B12" s="15" t="s">
        <v>2</v>
      </c>
      <c r="C12" s="16">
        <v>45292</v>
      </c>
      <c r="D12" s="15" t="s">
        <v>3</v>
      </c>
      <c r="E12" s="16">
        <v>45657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  <c r="Z12" s="103"/>
      <c r="AA12" s="103"/>
    </row>
    <row r="13" spans="1:27" x14ac:dyDescent="0.3">
      <c r="A13" s="1"/>
      <c r="B13" s="12"/>
      <c r="C13" s="17"/>
      <c r="D13" s="1"/>
      <c r="E13" s="1"/>
      <c r="F13" s="1"/>
      <c r="G13" s="308"/>
      <c r="H13" s="1"/>
      <c r="I13" s="309"/>
      <c r="J13" s="310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  <c r="Z13" s="103"/>
      <c r="AA13" s="103"/>
    </row>
    <row r="14" spans="1:27" s="30" customFormat="1" ht="20.149999999999999" customHeight="1" x14ac:dyDescent="0.35">
      <c r="A14" s="25"/>
      <c r="B14" s="384" t="s">
        <v>4</v>
      </c>
      <c r="C14" s="385"/>
      <c r="D14" s="25"/>
      <c r="E14" s="387">
        <v>5.1100000000000003</v>
      </c>
      <c r="F14" s="388" t="s">
        <v>116</v>
      </c>
      <c r="G14" s="25"/>
      <c r="H14" s="25"/>
      <c r="I14" s="25"/>
      <c r="J14" s="25"/>
      <c r="K14" s="25"/>
      <c r="L14" s="233"/>
      <c r="M14" s="233"/>
      <c r="N14" s="231"/>
      <c r="O14" s="233"/>
      <c r="P14" s="233"/>
      <c r="Q14" s="233"/>
      <c r="R14" s="233"/>
      <c r="S14" s="233"/>
      <c r="T14" s="233"/>
      <c r="U14" s="233"/>
      <c r="V14" s="233"/>
      <c r="W14" s="233"/>
      <c r="X14" s="171"/>
      <c r="Y14" s="171"/>
      <c r="Z14" s="171"/>
      <c r="AA14" s="171"/>
    </row>
    <row r="15" spans="1:27" ht="60" customHeight="1" thickBot="1" x14ac:dyDescent="0.4">
      <c r="A15" s="1"/>
      <c r="B15" s="335" t="s">
        <v>157</v>
      </c>
      <c r="C15" s="3" t="str">
        <f>"IST-Gestehungskosten  "&amp;C8</f>
        <v>IST-Gestehungskosten  2024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  <c r="Z15" s="103"/>
      <c r="AA15" s="103"/>
    </row>
    <row r="16" spans="1:27" x14ac:dyDescent="0.3">
      <c r="A16" s="1"/>
      <c r="B16" s="412" t="s">
        <v>5</v>
      </c>
      <c r="C16" s="161" t="s">
        <v>6</v>
      </c>
      <c r="D16" s="20">
        <f>IF(C12&lt;&gt;"",C12,"")</f>
        <v>45292</v>
      </c>
      <c r="E16" s="21" t="s">
        <v>3</v>
      </c>
      <c r="F16" s="20">
        <f>IF(E12&lt;&gt;"",E12,"")</f>
        <v>45657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  <c r="Z16" s="103"/>
      <c r="AA16" s="103"/>
    </row>
    <row r="17" spans="1:27" ht="44.2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160</v>
      </c>
      <c r="J17" s="416" t="s">
        <v>14</v>
      </c>
      <c r="K17" s="417"/>
      <c r="L17" s="228"/>
      <c r="M17" s="395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  <c r="Z17" s="103"/>
      <c r="AA17" s="103"/>
    </row>
    <row r="18" spans="1:27" s="30" customFormat="1" ht="18" customHeight="1" thickBot="1" x14ac:dyDescent="0.4">
      <c r="A18" s="25"/>
      <c r="B18" s="26" t="s">
        <v>15</v>
      </c>
      <c r="C18" s="27">
        <v>955000</v>
      </c>
      <c r="D18" s="27">
        <v>840000</v>
      </c>
      <c r="E18" s="85">
        <f>E29</f>
        <v>12550</v>
      </c>
      <c r="F18" s="85">
        <f>F29</f>
        <v>10900</v>
      </c>
      <c r="G18" s="253">
        <f>F18/E18</f>
        <v>0.86852589641434264</v>
      </c>
      <c r="H18" s="28">
        <f>C18/E18/10</f>
        <v>7.6095617529880482</v>
      </c>
      <c r="I18" s="28">
        <f>D18/F18/10</f>
        <v>7.7064220183486238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  <c r="Z18" s="171"/>
      <c r="AA18" s="171"/>
    </row>
    <row r="19" spans="1:27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  <c r="Z21" s="103"/>
      <c r="AA21" s="103"/>
    </row>
    <row r="22" spans="1:27" ht="15" customHeight="1" x14ac:dyDescent="0.3">
      <c r="A22" s="1"/>
      <c r="B22" s="42" t="s">
        <v>20</v>
      </c>
      <c r="C22" s="43">
        <v>158000</v>
      </c>
      <c r="D22" s="43">
        <v>158000</v>
      </c>
      <c r="E22" s="43">
        <v>2500</v>
      </c>
      <c r="F22" s="43">
        <v>2500</v>
      </c>
      <c r="G22" s="44">
        <f>E22/(E22+E25)</f>
        <v>0.19230769230769232</v>
      </c>
      <c r="H22" s="45">
        <f t="shared" ref="H22:I29" si="0">C22/E22/10</f>
        <v>6.32</v>
      </c>
      <c r="I22" s="45">
        <f t="shared" si="0"/>
        <v>6.32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  <c r="Z22" s="103"/>
      <c r="AA22" s="103"/>
    </row>
    <row r="23" spans="1:27" ht="15" customHeight="1" x14ac:dyDescent="0.3">
      <c r="A23" s="1"/>
      <c r="B23" s="46" t="s">
        <v>21</v>
      </c>
      <c r="C23" s="43">
        <v>158000</v>
      </c>
      <c r="D23" s="43">
        <v>158000</v>
      </c>
      <c r="E23" s="43">
        <v>2500</v>
      </c>
      <c r="F23" s="43">
        <v>2500</v>
      </c>
      <c r="G23" s="47">
        <f>F23/E23</f>
        <v>1</v>
      </c>
      <c r="H23" s="48">
        <f>C23/E23/10</f>
        <v>6.32</v>
      </c>
      <c r="I23" s="48">
        <f>D23/F23/10</f>
        <v>6.32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  <c r="Z23" s="103"/>
      <c r="AA23" s="103"/>
    </row>
    <row r="24" spans="1:27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  <c r="Z24" s="103"/>
      <c r="AA24" s="103"/>
    </row>
    <row r="25" spans="1:27" ht="15" customHeight="1" x14ac:dyDescent="0.3">
      <c r="A25" s="50"/>
      <c r="B25" s="42" t="s">
        <v>25</v>
      </c>
      <c r="C25" s="43">
        <v>735000</v>
      </c>
      <c r="D25" s="43">
        <v>588000</v>
      </c>
      <c r="E25" s="43">
        <v>10500</v>
      </c>
      <c r="F25" s="43">
        <v>8400</v>
      </c>
      <c r="G25" s="44">
        <f>E25/(E22+E25)</f>
        <v>0.80769230769230771</v>
      </c>
      <c r="H25" s="45">
        <f>C25/E25/10</f>
        <v>7</v>
      </c>
      <c r="I25" s="45">
        <f t="shared" si="0"/>
        <v>7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  <c r="Z25" s="103"/>
      <c r="AA25" s="103"/>
    </row>
    <row r="26" spans="1:27" ht="15" customHeight="1" x14ac:dyDescent="0.3">
      <c r="A26" s="50"/>
      <c r="B26" s="46" t="s">
        <v>21</v>
      </c>
      <c r="C26" s="43">
        <v>80000</v>
      </c>
      <c r="D26" s="43">
        <v>80000</v>
      </c>
      <c r="E26" s="43">
        <v>1100</v>
      </c>
      <c r="F26" s="43">
        <v>1100</v>
      </c>
      <c r="G26" s="47">
        <f>F26/E26</f>
        <v>1</v>
      </c>
      <c r="H26" s="48">
        <f>C26/E26/10</f>
        <v>7.2727272727272734</v>
      </c>
      <c r="I26" s="48">
        <f>D26/F26/10</f>
        <v>7.2727272727272734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  <c r="Z26" s="103"/>
      <c r="AA26" s="103"/>
    </row>
    <row r="27" spans="1:27" ht="15" customHeight="1" x14ac:dyDescent="0.3">
      <c r="A27" s="51"/>
      <c r="B27" s="42" t="s">
        <v>26</v>
      </c>
      <c r="C27" s="43">
        <v>35000</v>
      </c>
      <c r="D27" s="43">
        <v>32000</v>
      </c>
      <c r="E27" s="43">
        <f>E25-E26</f>
        <v>9400</v>
      </c>
      <c r="F27" s="43">
        <f>F25-F26</f>
        <v>7300</v>
      </c>
      <c r="G27" s="47">
        <f>F27/E27</f>
        <v>0.77659574468085102</v>
      </c>
      <c r="H27" s="45">
        <f>C27/E27/10</f>
        <v>0.37234042553191488</v>
      </c>
      <c r="I27" s="45">
        <f>D27/F27/10</f>
        <v>0.43835616438356162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  <c r="Z27" s="103"/>
      <c r="AA27" s="103"/>
    </row>
    <row r="28" spans="1:27" s="30" customFormat="1" x14ac:dyDescent="0.35">
      <c r="A28" s="51"/>
      <c r="B28" s="52" t="s">
        <v>27</v>
      </c>
      <c r="C28" s="53">
        <v>-30000</v>
      </c>
      <c r="D28" s="54"/>
      <c r="E28" s="53">
        <v>-450</v>
      </c>
      <c r="F28" s="54"/>
      <c r="G28" s="55">
        <f>E28/(E22+E25)</f>
        <v>-3.4615384615384617E-2</v>
      </c>
      <c r="H28" s="56">
        <f t="shared" si="0"/>
        <v>6.666666666666667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  <c r="Z28" s="171"/>
      <c r="AA28" s="171"/>
    </row>
    <row r="29" spans="1:27" s="30" customFormat="1" ht="18" customHeight="1" x14ac:dyDescent="0.35">
      <c r="A29" s="51"/>
      <c r="B29" s="57" t="s">
        <v>28</v>
      </c>
      <c r="C29" s="54">
        <f>C22+C25+C27+C28</f>
        <v>898000</v>
      </c>
      <c r="D29" s="54">
        <f>D22+D25+D27</f>
        <v>778000</v>
      </c>
      <c r="E29" s="54">
        <f>E22+E25+E28</f>
        <v>12550</v>
      </c>
      <c r="F29" s="54">
        <f>F22+F25</f>
        <v>10900</v>
      </c>
      <c r="G29" s="55">
        <f>G22+G25+G28</f>
        <v>0.9653846153846154</v>
      </c>
      <c r="H29" s="56">
        <f t="shared" si="0"/>
        <v>7.1553784860557768</v>
      </c>
      <c r="I29" s="56">
        <f t="shared" si="0"/>
        <v>7.137614678899082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  <c r="Z29" s="171"/>
      <c r="AA29" s="171"/>
    </row>
    <row r="30" spans="1:27" ht="15" customHeight="1" x14ac:dyDescent="0.3">
      <c r="A30" s="58"/>
      <c r="B30" s="59" t="s">
        <v>29</v>
      </c>
      <c r="C30" s="60">
        <v>50000</v>
      </c>
      <c r="D30" s="60">
        <v>40000</v>
      </c>
      <c r="E30" s="61"/>
      <c r="F30" s="61"/>
      <c r="G30" s="62"/>
      <c r="H30" s="63">
        <f>C30/E29/10</f>
        <v>0.39840637450199201</v>
      </c>
      <c r="I30" s="63">
        <f>D30/F29/10</f>
        <v>0.3669724770642202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  <c r="Z30" s="103"/>
      <c r="AA30" s="103"/>
    </row>
    <row r="31" spans="1:27" ht="15" customHeight="1" x14ac:dyDescent="0.3">
      <c r="B31" s="42" t="s">
        <v>30</v>
      </c>
      <c r="C31" s="64">
        <v>0</v>
      </c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  <c r="Z31" s="103"/>
      <c r="AA31" s="103"/>
    </row>
    <row r="32" spans="1:27" ht="15" customHeight="1" x14ac:dyDescent="0.3">
      <c r="A32" s="58"/>
      <c r="B32" s="42" t="s">
        <v>31</v>
      </c>
      <c r="C32" s="67"/>
      <c r="D32" s="43">
        <v>60000</v>
      </c>
      <c r="E32" s="67"/>
      <c r="F32" s="67"/>
      <c r="G32" s="68"/>
      <c r="H32" s="45">
        <f>C32/E29/10</f>
        <v>0</v>
      </c>
      <c r="I32" s="45">
        <f>D32/F29/10</f>
        <v>0.55045871559633031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  <c r="Z32" s="103"/>
      <c r="AA32" s="103"/>
    </row>
    <row r="33" spans="1:27" s="30" customFormat="1" ht="18" customHeight="1" x14ac:dyDescent="0.3">
      <c r="A33" s="25"/>
      <c r="B33" s="57" t="s">
        <v>32</v>
      </c>
      <c r="C33" s="54">
        <f>C29+C30+C31</f>
        <v>948000</v>
      </c>
      <c r="D33" s="54">
        <f>D29+D30+D31+D32</f>
        <v>878000</v>
      </c>
      <c r="E33" s="54">
        <f>E29</f>
        <v>12550</v>
      </c>
      <c r="F33" s="54">
        <f>F29</f>
        <v>10900</v>
      </c>
      <c r="G33" s="55">
        <f>G29</f>
        <v>0.9653846153846154</v>
      </c>
      <c r="H33" s="56">
        <f>C33/E33/10</f>
        <v>7.5537848605577693</v>
      </c>
      <c r="I33" s="56">
        <f>D33/F33/10</f>
        <v>8.0550458715596331</v>
      </c>
      <c r="J33" s="423" t="str">
        <f>IFERROR(VLOOKUP(N32,#REF!,4,FALSE),"")</f>
        <v/>
      </c>
      <c r="K33" s="424"/>
      <c r="L33" s="234" t="str">
        <f>IF(N35&gt;75.4,"Vertriebskosten, sonstige Kosten und Gewinn je Rechnungsempfänger sind im Vergleich mit anderen Netzbetreibern hoch. Bitte beachten Sie, dass mit der Weisung 5/2018 die sogenannte '75-Franken-Regel' gilt.","")</f>
        <v/>
      </c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  <c r="Z33" s="171"/>
      <c r="AA33" s="171"/>
    </row>
    <row r="34" spans="1:27" ht="18" customHeight="1" thickBot="1" x14ac:dyDescent="0.35">
      <c r="A34" s="1"/>
      <c r="B34" s="69" t="s">
        <v>33</v>
      </c>
      <c r="C34" s="70"/>
      <c r="D34" s="71">
        <f>H71</f>
        <v>-2000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  <c r="Z34" s="103"/>
      <c r="AA34" s="103"/>
    </row>
    <row r="35" spans="1:27" ht="18" customHeight="1" thickBot="1" x14ac:dyDescent="0.35">
      <c r="B35" s="69" t="s">
        <v>34</v>
      </c>
      <c r="C35" s="74"/>
      <c r="D35" s="74">
        <f>D34+D33</f>
        <v>876000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  <c r="Z35" s="103"/>
      <c r="AA35" s="103"/>
    </row>
    <row r="36" spans="1:27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</row>
    <row r="37" spans="1:27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2024 (+ Überdeckung)</v>
      </c>
      <c r="C37" s="430"/>
      <c r="D37" s="77">
        <f>D18-D35</f>
        <v>-36000</v>
      </c>
      <c r="E37" s="440" t="str">
        <f>IF(D37=0,"",IF(D37&gt;0,"Dieser Betrag muss den Endkunden gutgeschrieben werden.","Dieser Betrag kann den Endkunden verrechnet werden."))</f>
        <v>Dieser Betrag kann den Endkunden verrechnet werden.</v>
      </c>
      <c r="F37" s="441"/>
      <c r="G37" s="441"/>
      <c r="H37" s="441"/>
      <c r="I37" s="441"/>
      <c r="J37" s="441"/>
      <c r="K37" s="442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  <c r="Z37" s="171"/>
      <c r="AA37" s="171"/>
    </row>
    <row r="38" spans="1:27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  <c r="Z38" s="103"/>
      <c r="AA38" s="103"/>
    </row>
    <row r="39" spans="1:27" x14ac:dyDescent="0.3">
      <c r="A39" s="1"/>
      <c r="B39" s="12"/>
      <c r="C39" s="49"/>
      <c r="D39" s="49"/>
      <c r="E39" s="32"/>
      <c r="F39" s="32"/>
      <c r="G39" s="32"/>
      <c r="H39" s="49"/>
      <c r="I39" s="49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  <c r="Z39" s="103"/>
      <c r="AA39" s="103"/>
    </row>
    <row r="40" spans="1:27" ht="15.5" x14ac:dyDescent="0.35">
      <c r="A40" s="1"/>
      <c r="B40" s="3" t="s">
        <v>35</v>
      </c>
      <c r="C40" s="49"/>
      <c r="D40" s="49"/>
      <c r="E40" s="32"/>
      <c r="F40" s="31"/>
      <c r="G40" s="49"/>
      <c r="H40" s="49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  <c r="Z40" s="103"/>
      <c r="AA40" s="103"/>
    </row>
    <row r="41" spans="1:27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  <c r="Z41" s="103"/>
      <c r="AA41" s="103"/>
    </row>
    <row r="42" spans="1:27" s="30" customFormat="1" ht="18" customHeight="1" thickBot="1" x14ac:dyDescent="0.4">
      <c r="A42" s="25"/>
      <c r="B42" s="159" t="s">
        <v>39</v>
      </c>
      <c r="C42" s="330"/>
      <c r="D42" s="390">
        <v>0</v>
      </c>
      <c r="E42" s="431"/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  <c r="Z42" s="171"/>
      <c r="AA42" s="171"/>
    </row>
    <row r="43" spans="1:27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  <c r="Z43" s="103"/>
      <c r="AA43" s="103"/>
    </row>
    <row r="44" spans="1:27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  <c r="Z44" s="103"/>
      <c r="AA44" s="103"/>
    </row>
    <row r="45" spans="1:27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  <c r="Z45" s="103"/>
      <c r="AA45" s="103"/>
    </row>
    <row r="46" spans="1:27" s="84" customFormat="1" ht="15" customHeight="1" x14ac:dyDescent="0.35">
      <c r="A46" s="83"/>
      <c r="B46" s="434" t="s">
        <v>81</v>
      </c>
      <c r="C46" s="435"/>
      <c r="D46" s="315"/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  <c r="Z46" s="171"/>
      <c r="AA46" s="171"/>
    </row>
    <row r="47" spans="1:27" s="84" customFormat="1" ht="15" customHeight="1" x14ac:dyDescent="0.35">
      <c r="A47" s="83"/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  <c r="Z47" s="171"/>
      <c r="AA47" s="171"/>
    </row>
    <row r="48" spans="1:27" s="84" customFormat="1" ht="15" customHeight="1" thickBot="1" x14ac:dyDescent="0.4">
      <c r="A48" s="83"/>
      <c r="B48" s="418" t="s">
        <v>42</v>
      </c>
      <c r="C48" s="419"/>
      <c r="D48" s="85">
        <f>SUM(D46:D47)</f>
        <v>0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  <c r="Z48" s="171"/>
      <c r="AA48" s="171"/>
    </row>
    <row r="49" spans="1:27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  <c r="Z49" s="103"/>
      <c r="AA49" s="103"/>
    </row>
    <row r="50" spans="1:27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  <c r="Z50" s="103"/>
      <c r="AA50" s="103"/>
    </row>
    <row r="51" spans="1:27" s="84" customFormat="1" ht="15" customHeight="1" thickBot="1" x14ac:dyDescent="0.4">
      <c r="A51" s="83"/>
      <c r="B51" s="449" t="s">
        <v>44</v>
      </c>
      <c r="C51" s="450"/>
      <c r="D51" s="89">
        <f>D37+D42+D48</f>
        <v>-36000</v>
      </c>
      <c r="E51" s="451" t="str">
        <f>IF(D51=0,"",IF(D51&gt;0,"Dieser Betrag muss den Endkunden gutgeschrieben werden.","Dieser Betrag kann den Endkunden verrechnet werden."))</f>
        <v>Dieser Betrag kann den Endkunden verrechnet werden.</v>
      </c>
      <c r="F51" s="452"/>
      <c r="G51" s="452"/>
      <c r="H51" s="452"/>
      <c r="I51" s="452"/>
      <c r="J51" s="452"/>
      <c r="K51" s="45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  <c r="Z51" s="171"/>
      <c r="AA51" s="171"/>
    </row>
    <row r="52" spans="1:27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</row>
    <row r="53" spans="1:27" s="84" customFormat="1" ht="29.25" customHeight="1" x14ac:dyDescent="0.35">
      <c r="B53" s="92"/>
      <c r="C53" s="93"/>
      <c r="D53" s="93"/>
      <c r="E53" s="455"/>
      <c r="F53" s="456"/>
      <c r="G53" s="456"/>
      <c r="H53" s="456"/>
      <c r="I53" s="456"/>
      <c r="J53" s="456"/>
      <c r="K53" s="456"/>
      <c r="L53" s="239"/>
      <c r="M53" s="239"/>
      <c r="N53" s="240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</row>
    <row r="54" spans="1:27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</row>
    <row r="55" spans="1:27" s="11" customFormat="1" ht="15" customHeight="1" thickBot="1" x14ac:dyDescent="0.3">
      <c r="A55" s="10"/>
      <c r="B55" s="429" t="s">
        <v>159</v>
      </c>
      <c r="C55" s="457"/>
      <c r="D55" s="163">
        <v>2.25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  <c r="Z55" s="241"/>
      <c r="AA55" s="241"/>
    </row>
    <row r="56" spans="1:27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</row>
    <row r="57" spans="1:27" s="84" customFormat="1" ht="15" customHeight="1" x14ac:dyDescent="0.35">
      <c r="B57" s="90"/>
      <c r="C57" s="98"/>
      <c r="D57" s="91"/>
      <c r="E57" s="463" t="str">
        <f>IFERROR(IFERROR(VLOOKUP(N55,$I$64:$L$71,4,FALSE),VLOOKUP(N56,$I$64:$L$71,4,FALSE)),"")</f>
        <v/>
      </c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</row>
    <row r="58" spans="1:27" s="84" customFormat="1" ht="1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</row>
    <row r="59" spans="1:27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x14ac:dyDescent="0.3"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2" spans="1:27" s="326" customFormat="1" ht="28.5" customHeight="1" x14ac:dyDescent="0.35">
      <c r="A62" s="99" t="s">
        <v>147</v>
      </c>
      <c r="B62" s="324"/>
      <c r="C62" s="324"/>
      <c r="D62" s="324"/>
      <c r="E62" s="324"/>
      <c r="F62" s="324"/>
      <c r="G62" s="324"/>
      <c r="H62" s="324"/>
      <c r="I62" s="325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</row>
    <row r="63" spans="1:27" s="102" customFormat="1" ht="13" customHeight="1" x14ac:dyDescent="0.35">
      <c r="A63" s="170"/>
      <c r="I63" s="173"/>
      <c r="J63" s="444"/>
      <c r="K63" s="444"/>
      <c r="L63" s="444"/>
      <c r="M63" s="444"/>
    </row>
    <row r="64" spans="1:27" ht="28.5" x14ac:dyDescent="0.35">
      <c r="A64" s="162"/>
      <c r="B64" s="283" t="s">
        <v>144</v>
      </c>
      <c r="F64" s="323"/>
      <c r="H64" s="103"/>
      <c r="I64" s="164" t="s">
        <v>82</v>
      </c>
      <c r="J64" s="103"/>
      <c r="L64" s="103"/>
      <c r="M64" s="164" t="s">
        <v>99</v>
      </c>
      <c r="N64" s="194"/>
      <c r="P64" s="103"/>
      <c r="Q64" s="164" t="s">
        <v>84</v>
      </c>
      <c r="R64" s="224"/>
      <c r="U64" s="164" t="s">
        <v>86</v>
      </c>
    </row>
    <row r="65" spans="1:24" ht="29.15" customHeight="1" x14ac:dyDescent="0.3">
      <c r="B65" s="104"/>
      <c r="F65" s="316" t="s">
        <v>152</v>
      </c>
      <c r="H65" s="104"/>
      <c r="I65" s="103"/>
      <c r="J65" s="131" t="s">
        <v>128</v>
      </c>
      <c r="K65" s="103"/>
      <c r="L65" s="334"/>
      <c r="M65" s="334"/>
      <c r="N65" s="389" t="s">
        <v>113</v>
      </c>
      <c r="O65" s="103"/>
      <c r="P65" s="103"/>
      <c r="Q65" s="103"/>
      <c r="R65" s="316" t="s">
        <v>114</v>
      </c>
      <c r="S65" s="9"/>
      <c r="T65" s="9"/>
      <c r="U65" s="9"/>
    </row>
    <row r="66" spans="1:24" ht="15.75" customHeight="1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K66" s="103"/>
      <c r="L66" s="103"/>
      <c r="M66" s="103"/>
      <c r="N66" s="254" t="s">
        <v>116</v>
      </c>
      <c r="O66" s="103"/>
      <c r="P66" s="103"/>
      <c r="Q66" s="103"/>
      <c r="R66" s="254" t="s">
        <v>116</v>
      </c>
      <c r="S66" s="9"/>
      <c r="T66" s="151"/>
      <c r="U66" s="9"/>
    </row>
    <row r="67" spans="1:24" ht="16" thickBot="1" x14ac:dyDescent="0.4">
      <c r="B67" s="3" t="s">
        <v>149</v>
      </c>
      <c r="C67" s="81">
        <v>1</v>
      </c>
      <c r="D67" s="14">
        <v>2</v>
      </c>
      <c r="E67" s="14">
        <v>3</v>
      </c>
      <c r="F67" s="163">
        <v>3.98</v>
      </c>
      <c r="G67" s="106">
        <v>5</v>
      </c>
      <c r="H67" s="106">
        <v>6</v>
      </c>
      <c r="I67" s="106">
        <v>7</v>
      </c>
      <c r="J67" s="163">
        <v>3.98</v>
      </c>
      <c r="K67" s="103"/>
      <c r="L67" s="14">
        <v>8</v>
      </c>
      <c r="M67" s="103"/>
      <c r="N67" s="163">
        <f>J67</f>
        <v>3.98</v>
      </c>
      <c r="O67" s="103"/>
      <c r="P67" s="103"/>
      <c r="Q67" s="103"/>
      <c r="R67" s="163">
        <f>J67</f>
        <v>3.98</v>
      </c>
      <c r="S67" s="9"/>
      <c r="T67" s="9"/>
      <c r="U67" s="9"/>
      <c r="V67" s="14"/>
      <c r="W67" s="104"/>
    </row>
    <row r="68" spans="1:24" ht="25.5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x14ac:dyDescent="0.3">
      <c r="A69" s="114"/>
      <c r="B69" s="461"/>
      <c r="C69" s="115" t="s">
        <v>80</v>
      </c>
      <c r="D69" s="198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8" customHeight="1" thickBot="1" x14ac:dyDescent="0.35">
      <c r="B71" s="126" t="s">
        <v>119</v>
      </c>
      <c r="C71" s="127">
        <v>6000</v>
      </c>
      <c r="D71" s="127">
        <v>-1000</v>
      </c>
      <c r="E71" s="128">
        <f>D71+C71</f>
        <v>5000</v>
      </c>
      <c r="F71" s="129">
        <f>E71*(F67/100)</f>
        <v>199</v>
      </c>
      <c r="G71" s="128">
        <f>E71+F71</f>
        <v>5199</v>
      </c>
      <c r="H71" s="127">
        <v>-2000</v>
      </c>
      <c r="I71" s="205">
        <f>G71+H71</f>
        <v>3199</v>
      </c>
      <c r="J71" s="169">
        <f>I71*(J67/100)</f>
        <v>127.3202</v>
      </c>
      <c r="K71" s="147">
        <f>J71+I71</f>
        <v>3326.3202000000001</v>
      </c>
      <c r="L71" s="165">
        <v>-1159</v>
      </c>
      <c r="M71" s="205">
        <f>K71+L71</f>
        <v>2167.3202000000001</v>
      </c>
      <c r="N71" s="169">
        <f>M71*(N67/100)</f>
        <v>86.25934396000001</v>
      </c>
      <c r="O71" s="147">
        <f>N71+M71</f>
        <v>2253.5795439600001</v>
      </c>
      <c r="P71" s="149">
        <f>IF(P72&lt;ABS(O71),(-O71-P72)/2,0)</f>
        <v>-1126.7897719800001</v>
      </c>
      <c r="Q71" s="210">
        <f>O71+P71+P72</f>
        <v>1126.7897719800001</v>
      </c>
      <c r="R71" s="169">
        <f>Q71*(R67/100)</f>
        <v>44.846232924804006</v>
      </c>
      <c r="S71" s="147">
        <f>R71+Q71</f>
        <v>1171.6360049048042</v>
      </c>
      <c r="T71" s="155">
        <f>-S71-T72</f>
        <v>-1171.6360049048042</v>
      </c>
      <c r="U71" s="168">
        <f>S71+T71+T72</f>
        <v>0</v>
      </c>
      <c r="V71" s="214"/>
    </row>
    <row r="72" spans="1:24" x14ac:dyDescent="0.3">
      <c r="A72" s="300"/>
      <c r="B72" s="188" t="s">
        <v>91</v>
      </c>
      <c r="D72" s="151"/>
      <c r="E72" s="31"/>
      <c r="F72" s="31"/>
      <c r="J72" s="31"/>
      <c r="K72" s="172"/>
      <c r="L72" s="172"/>
      <c r="P72" s="252"/>
      <c r="Q72" s="167"/>
      <c r="T72" s="252"/>
    </row>
    <row r="73" spans="1:24" ht="22.5" customHeight="1" x14ac:dyDescent="0.3">
      <c r="A73" s="300"/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133"/>
    </row>
    <row r="74" spans="1:24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133"/>
    </row>
    <row r="75" spans="1:24" s="321" customFormat="1" ht="28.5" customHeight="1" x14ac:dyDescent="0.35">
      <c r="A75" s="99" t="s">
        <v>148</v>
      </c>
      <c r="B75" s="319"/>
      <c r="C75" s="319"/>
      <c r="D75" s="319"/>
      <c r="E75" s="319"/>
      <c r="F75" s="319"/>
      <c r="G75" s="319"/>
      <c r="H75" s="320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</row>
    <row r="76" spans="1:24" s="102" customFormat="1" ht="14.9" customHeight="1" x14ac:dyDescent="0.35">
      <c r="A76" s="177"/>
      <c r="C76" s="280"/>
      <c r="D76" s="280"/>
      <c r="E76" s="280"/>
      <c r="F76" s="280"/>
      <c r="G76" s="280"/>
      <c r="H76" s="280"/>
      <c r="I76" s="280"/>
    </row>
    <row r="77" spans="1:24" s="102" customFormat="1" ht="28.5" customHeight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100</v>
      </c>
      <c r="Q77" s="164" t="s">
        <v>87</v>
      </c>
    </row>
    <row r="78" spans="1:24" s="84" customFormat="1" ht="15" customHeight="1" x14ac:dyDescent="0.35">
      <c r="B78" s="90"/>
      <c r="C78" s="90"/>
      <c r="D78" s="465"/>
      <c r="E78" s="135"/>
      <c r="F78" s="443" t="s">
        <v>134</v>
      </c>
      <c r="G78" s="293"/>
      <c r="H78" s="294"/>
      <c r="I78" s="95"/>
      <c r="J78" s="443" t="s">
        <v>135</v>
      </c>
      <c r="K78" s="95"/>
      <c r="L78" s="102"/>
      <c r="N78" s="443" t="s">
        <v>136</v>
      </c>
    </row>
    <row r="79" spans="1:24" x14ac:dyDescent="0.3">
      <c r="B79" s="31"/>
      <c r="C79" s="180"/>
      <c r="D79" s="31"/>
      <c r="E79" s="31"/>
      <c r="F79" s="443"/>
      <c r="G79" s="295"/>
      <c r="H79" s="291"/>
      <c r="I79" s="31"/>
      <c r="J79" s="443"/>
      <c r="L79" s="102"/>
      <c r="N79" s="443"/>
      <c r="P79" s="151"/>
    </row>
    <row r="80" spans="1:24" ht="14.5" thickBot="1" x14ac:dyDescent="0.35">
      <c r="B80" s="31"/>
      <c r="C80" s="180"/>
      <c r="D80" s="254" t="s">
        <v>116</v>
      </c>
      <c r="E80" s="31"/>
      <c r="F80" s="254" t="s">
        <v>116</v>
      </c>
      <c r="G80" s="31"/>
      <c r="J80" s="254" t="s">
        <v>116</v>
      </c>
      <c r="N80" s="254" t="s">
        <v>116</v>
      </c>
    </row>
    <row r="81" spans="1:22" ht="16" thickBot="1" x14ac:dyDescent="0.4">
      <c r="A81" s="136"/>
      <c r="B81" s="3" t="s">
        <v>66</v>
      </c>
      <c r="C81" s="14"/>
      <c r="D81" s="163">
        <f>D55</f>
        <v>2.25</v>
      </c>
      <c r="E81" s="14"/>
      <c r="F81" s="96">
        <f>D81</f>
        <v>2.25</v>
      </c>
      <c r="G81" s="295"/>
      <c r="H81" s="296"/>
      <c r="I81" s="14"/>
      <c r="J81" s="96">
        <f>D81</f>
        <v>2.25</v>
      </c>
      <c r="K81" s="137"/>
      <c r="L81" s="102"/>
      <c r="M81" s="137"/>
      <c r="N81" s="96">
        <f>D81</f>
        <v>2.25</v>
      </c>
      <c r="O81" s="14"/>
      <c r="P81" s="14"/>
      <c r="Q81" s="14"/>
      <c r="R81" s="14"/>
    </row>
    <row r="82" spans="1:22" s="103" customFormat="1" ht="28.4" customHeight="1" x14ac:dyDescent="0.3">
      <c r="A82" s="136"/>
      <c r="B82" s="460"/>
      <c r="C82" s="138" t="s">
        <v>46</v>
      </c>
      <c r="D82" s="111" t="s">
        <v>48</v>
      </c>
      <c r="E82" s="227" t="s">
        <v>106</v>
      </c>
      <c r="F82" s="110" t="s">
        <v>48</v>
      </c>
      <c r="G82" s="111" t="s">
        <v>106</v>
      </c>
      <c r="H82" s="112" t="s">
        <v>51</v>
      </c>
      <c r="I82" s="207" t="s">
        <v>61</v>
      </c>
      <c r="J82" s="110" t="s">
        <v>48</v>
      </c>
      <c r="K82" s="111" t="s">
        <v>106</v>
      </c>
      <c r="L82" s="112" t="s">
        <v>51</v>
      </c>
      <c r="M82" s="207" t="s">
        <v>52</v>
      </c>
      <c r="N82" s="110" t="s">
        <v>48</v>
      </c>
      <c r="O82" s="111" t="s">
        <v>106</v>
      </c>
      <c r="P82" s="150" t="s">
        <v>51</v>
      </c>
      <c r="Q82" s="156" t="s">
        <v>154</v>
      </c>
      <c r="R82" s="113"/>
    </row>
    <row r="83" spans="1:22" s="103" customFormat="1" ht="14.25" customHeight="1" x14ac:dyDescent="0.3">
      <c r="A83" s="136"/>
      <c r="B83" s="461"/>
      <c r="C83" s="139" t="s">
        <v>107</v>
      </c>
      <c r="D83" s="124" t="s">
        <v>55</v>
      </c>
      <c r="E83" s="211" t="s">
        <v>58</v>
      </c>
      <c r="F83" s="123" t="s">
        <v>55</v>
      </c>
      <c r="G83" s="124" t="s">
        <v>59</v>
      </c>
      <c r="H83" s="121" t="str">
        <f>"Tarife "&amp; C8+2</f>
        <v>Tarife 2026</v>
      </c>
      <c r="I83" s="213" t="s">
        <v>57</v>
      </c>
      <c r="J83" s="123" t="s">
        <v>55</v>
      </c>
      <c r="K83" s="124" t="s">
        <v>60</v>
      </c>
      <c r="L83" s="121" t="str">
        <f>"Tarife "&amp; C8+3</f>
        <v>Tarife 2027</v>
      </c>
      <c r="M83" s="213" t="s">
        <v>57</v>
      </c>
      <c r="N83" s="123" t="s">
        <v>55</v>
      </c>
      <c r="O83" s="124" t="s">
        <v>62</v>
      </c>
      <c r="P83" s="152" t="str">
        <f>"Tarife "&amp; C8+4</f>
        <v>Tarife 2028</v>
      </c>
      <c r="Q83" s="157" t="s">
        <v>53</v>
      </c>
      <c r="R83" s="122"/>
    </row>
    <row r="84" spans="1:22" s="103" customFormat="1" ht="14.25" customHeight="1" x14ac:dyDescent="0.3">
      <c r="A84" s="136"/>
      <c r="B84" s="461"/>
      <c r="C84" s="139"/>
      <c r="D84" s="124"/>
      <c r="E84" s="307"/>
      <c r="F84" s="123"/>
      <c r="G84" s="290"/>
      <c r="H84" s="121" t="s">
        <v>63</v>
      </c>
      <c r="I84" s="213"/>
      <c r="J84" s="123"/>
      <c r="K84" s="290"/>
      <c r="L84" s="121" t="s">
        <v>64</v>
      </c>
      <c r="M84" s="213"/>
      <c r="N84" s="123"/>
      <c r="O84" s="290"/>
      <c r="P84" s="152" t="s">
        <v>65</v>
      </c>
      <c r="Q84" s="158"/>
      <c r="R84" s="122"/>
    </row>
    <row r="85" spans="1:22" s="103" customFormat="1" ht="14.25" customHeight="1" thickBot="1" x14ac:dyDescent="0.35">
      <c r="A85" s="136"/>
      <c r="B85" s="461"/>
      <c r="C85" s="139" t="s">
        <v>38</v>
      </c>
      <c r="D85" s="124" t="s">
        <v>38</v>
      </c>
      <c r="E85" s="211" t="s">
        <v>38</v>
      </c>
      <c r="F85" s="123" t="s">
        <v>38</v>
      </c>
      <c r="G85" s="124" t="s">
        <v>38</v>
      </c>
      <c r="H85" s="121" t="s">
        <v>38</v>
      </c>
      <c r="I85" s="213" t="s">
        <v>38</v>
      </c>
      <c r="J85" s="123" t="s">
        <v>38</v>
      </c>
      <c r="K85" s="124" t="s">
        <v>38</v>
      </c>
      <c r="L85" s="121" t="s">
        <v>38</v>
      </c>
      <c r="M85" s="213" t="s">
        <v>38</v>
      </c>
      <c r="N85" s="123" t="s">
        <v>38</v>
      </c>
      <c r="O85" s="124" t="s">
        <v>38</v>
      </c>
      <c r="P85" s="152" t="s">
        <v>38</v>
      </c>
      <c r="Q85" s="158" t="s">
        <v>38</v>
      </c>
      <c r="R85" s="125" t="s">
        <v>14</v>
      </c>
    </row>
    <row r="86" spans="1:22" s="171" customFormat="1" ht="27" customHeight="1" thickBot="1" x14ac:dyDescent="0.35">
      <c r="A86" s="103"/>
      <c r="B86" s="182" t="str">
        <f>"Übersicht DD 2024 bis Abbau Null "</f>
        <v xml:space="preserve">Übersicht DD 2024 bis Abbau Null </v>
      </c>
      <c r="C86" s="140">
        <f>D51</f>
        <v>-36000</v>
      </c>
      <c r="D86" s="129">
        <f>C86*(D81/100)</f>
        <v>-810</v>
      </c>
      <c r="E86" s="212">
        <f>D86+C86</f>
        <v>-36810</v>
      </c>
      <c r="F86" s="284">
        <f>E86*(F81/100)</f>
        <v>-828.22500000000002</v>
      </c>
      <c r="G86" s="285">
        <f>E86+F86</f>
        <v>-37638.224999999999</v>
      </c>
      <c r="H86" s="149">
        <f>IF(H87&lt;ABS(G86),(-G86-H87)/3*(1+F81/100),0)</f>
        <v>9420.0283541666668</v>
      </c>
      <c r="I86" s="210">
        <f>G86+H86+H87</f>
        <v>-18218.196645833334</v>
      </c>
      <c r="J86" s="169">
        <f>I86*(J81/100)</f>
        <v>-409.90942453125001</v>
      </c>
      <c r="K86" s="147">
        <f>J86+I86</f>
        <v>-18628.106070364585</v>
      </c>
      <c r="L86" s="149">
        <f>IF(L87&lt;ABS(K86),(-K86-L87)/2,0)</f>
        <v>9314.0530351822927</v>
      </c>
      <c r="M86" s="205">
        <f>K86+L86+L87</f>
        <v>-9314.0530351822927</v>
      </c>
      <c r="N86" s="169">
        <f>M86*(N81/100)</f>
        <v>-209.56619329160156</v>
      </c>
      <c r="O86" s="147">
        <f>N86+M86</f>
        <v>-9523.6192284738936</v>
      </c>
      <c r="P86" s="153">
        <f>-O86-P87</f>
        <v>9523.6192284738936</v>
      </c>
      <c r="Q86" s="168">
        <f>O86+P86+P87</f>
        <v>0</v>
      </c>
      <c r="R86" s="214"/>
    </row>
    <row r="87" spans="1:22" x14ac:dyDescent="0.3">
      <c r="B87" s="188" t="s">
        <v>91</v>
      </c>
      <c r="C87" s="151"/>
      <c r="D87" s="31"/>
      <c r="F87" s="31"/>
      <c r="G87" s="31"/>
      <c r="H87" s="252">
        <v>10000</v>
      </c>
      <c r="I87" s="151"/>
      <c r="L87" s="252">
        <v>0</v>
      </c>
      <c r="P87" s="252">
        <v>0</v>
      </c>
      <c r="Q87" s="104"/>
    </row>
    <row r="88" spans="1:22" ht="24.75" customHeight="1" x14ac:dyDescent="0.3">
      <c r="H88" s="186" t="s">
        <v>93</v>
      </c>
      <c r="I88" s="185"/>
      <c r="L88" s="186" t="s">
        <v>93</v>
      </c>
      <c r="P88" s="186" t="s">
        <v>93</v>
      </c>
    </row>
    <row r="89" spans="1:22" ht="21" customHeight="1" x14ac:dyDescent="0.3">
      <c r="F89" s="190"/>
      <c r="G89" s="292"/>
      <c r="H89" s="297"/>
      <c r="J89" s="190"/>
      <c r="N89" s="190"/>
    </row>
    <row r="90" spans="1:22" x14ac:dyDescent="0.3">
      <c r="F90" s="190"/>
      <c r="G90" s="185"/>
      <c r="H90" s="297"/>
      <c r="J90" s="190"/>
      <c r="N90" s="190"/>
    </row>
    <row r="91" spans="1:22" s="102" customFormat="1" ht="28.5" customHeight="1" x14ac:dyDescent="0.35">
      <c r="A91" s="145" t="s">
        <v>74</v>
      </c>
      <c r="B91" s="100"/>
      <c r="C91" s="100"/>
      <c r="D91" s="100"/>
      <c r="E91" s="100"/>
      <c r="F91" s="100"/>
      <c r="G91" s="100"/>
      <c r="H91" s="101"/>
      <c r="I91" s="101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</row>
    <row r="93" spans="1:22" ht="15.5" x14ac:dyDescent="0.35">
      <c r="B93" s="3" t="s">
        <v>74</v>
      </c>
      <c r="C93" s="81" t="s">
        <v>92</v>
      </c>
      <c r="D93" s="81" t="s">
        <v>75</v>
      </c>
      <c r="E93" s="81" t="s">
        <v>76</v>
      </c>
      <c r="F93" s="14" t="s">
        <v>77</v>
      </c>
      <c r="G93" s="81" t="s">
        <v>98</v>
      </c>
      <c r="H93" s="14"/>
      <c r="I93" s="49"/>
      <c r="K93" s="14"/>
      <c r="M93" s="81"/>
      <c r="Q93" s="81"/>
      <c r="U93" s="14"/>
    </row>
    <row r="94" spans="1:22" ht="16" thickBot="1" x14ac:dyDescent="0.4">
      <c r="B94" s="3"/>
      <c r="C94" s="317" t="s">
        <v>150</v>
      </c>
      <c r="D94" s="445" t="s">
        <v>151</v>
      </c>
      <c r="E94" s="446"/>
      <c r="F94" s="14"/>
      <c r="G94" s="81"/>
      <c r="H94" s="14"/>
      <c r="I94" s="49"/>
      <c r="K94" s="14"/>
      <c r="M94" s="81"/>
      <c r="Q94" s="81"/>
      <c r="U94" s="14"/>
    </row>
    <row r="95" spans="1:22" ht="33" customHeight="1" x14ac:dyDescent="0.3">
      <c r="B95" s="460"/>
      <c r="C95" s="121" t="s">
        <v>45</v>
      </c>
      <c r="D95" s="124" t="s">
        <v>146</v>
      </c>
      <c r="E95" s="318" t="s">
        <v>145</v>
      </c>
      <c r="F95" s="112" t="s">
        <v>120</v>
      </c>
      <c r="G95" s="217" t="s">
        <v>120</v>
      </c>
      <c r="H95" s="31"/>
    </row>
    <row r="96" spans="1:22" x14ac:dyDescent="0.3">
      <c r="B96" s="461"/>
      <c r="C96" s="215"/>
      <c r="D96" s="146">
        <f>$C$8</f>
        <v>2024</v>
      </c>
      <c r="E96" s="146">
        <f>C8</f>
        <v>2024</v>
      </c>
      <c r="F96" s="146">
        <f>E96+1</f>
        <v>2025</v>
      </c>
      <c r="G96" s="244">
        <f>E96+2</f>
        <v>2026</v>
      </c>
      <c r="H96" s="49"/>
    </row>
    <row r="97" spans="2:21" ht="14.5" thickBot="1" x14ac:dyDescent="0.35">
      <c r="B97" s="462"/>
      <c r="C97" s="139" t="s">
        <v>38</v>
      </c>
      <c r="D97" s="124" t="s">
        <v>38</v>
      </c>
      <c r="E97" s="179" t="s">
        <v>38</v>
      </c>
      <c r="F97" s="121" t="s">
        <v>38</v>
      </c>
      <c r="G97" s="218" t="s">
        <v>38</v>
      </c>
      <c r="I97" s="102"/>
    </row>
    <row r="98" spans="2:21" ht="14.5" thickBot="1" x14ac:dyDescent="0.35">
      <c r="B98" s="126" t="s">
        <v>78</v>
      </c>
      <c r="C98" s="222">
        <f>I71</f>
        <v>3199</v>
      </c>
      <c r="D98" s="249"/>
      <c r="E98" s="222">
        <f>C86</f>
        <v>-36000</v>
      </c>
      <c r="F98" s="223">
        <f>F100</f>
        <v>-1159</v>
      </c>
      <c r="G98" s="286">
        <f>SUM(G99:G100)</f>
        <v>8293.2385821866665</v>
      </c>
    </row>
    <row r="99" spans="2:21" ht="14.5" thickBot="1" x14ac:dyDescent="0.35">
      <c r="B99" s="216" t="str">
        <f>"davon t ["&amp;$C$8&amp;"]"</f>
        <v>davon t [2024]</v>
      </c>
      <c r="C99" s="301"/>
      <c r="D99" s="301"/>
      <c r="E99" s="301"/>
      <c r="F99" s="301"/>
      <c r="G99" s="226">
        <f>H86</f>
        <v>9420.0283541666668</v>
      </c>
      <c r="L99" s="131"/>
      <c r="P99" s="131"/>
      <c r="T99" s="131"/>
      <c r="U99" s="104"/>
    </row>
    <row r="100" spans="2:21" ht="14.5" thickBot="1" x14ac:dyDescent="0.35">
      <c r="B100" s="216" t="str">
        <f>"davon t-1 ["&amp;$C$8-1&amp;"]"</f>
        <v>davon t-1 [2023]</v>
      </c>
      <c r="C100" s="302"/>
      <c r="D100" s="302"/>
      <c r="E100" s="302"/>
      <c r="F100" s="221">
        <f>L71</f>
        <v>-1159</v>
      </c>
      <c r="G100" s="225">
        <f>P71</f>
        <v>-1126.7897719800001</v>
      </c>
      <c r="S100" s="1"/>
    </row>
    <row r="101" spans="2:21" ht="14.5" thickBot="1" x14ac:dyDescent="0.35">
      <c r="B101" s="216" t="str">
        <f>"davon t-2 ["&amp;$C$8-2&amp;"]"</f>
        <v>davon t-2 [2022]</v>
      </c>
      <c r="C101" s="302"/>
      <c r="D101" s="302"/>
      <c r="E101" s="302"/>
      <c r="F101" s="302"/>
      <c r="G101" s="303"/>
    </row>
    <row r="102" spans="2:21" ht="14.5" thickBot="1" x14ac:dyDescent="0.35">
      <c r="B102" s="246" t="str">
        <f>"davon t-3 ["&amp;$C$8-3&amp;"]"</f>
        <v>davon t-3 [2021]</v>
      </c>
      <c r="C102" s="304"/>
      <c r="D102" s="304"/>
      <c r="E102" s="304"/>
      <c r="F102" s="304"/>
      <c r="G102" s="305"/>
      <c r="K102" s="148"/>
    </row>
    <row r="103" spans="2:21" ht="14.5" thickBot="1" x14ac:dyDescent="0.35">
      <c r="B103" s="288" t="s">
        <v>124</v>
      </c>
      <c r="C103" s="103"/>
      <c r="D103" s="103"/>
      <c r="E103" s="103"/>
      <c r="F103" s="305"/>
      <c r="G103" s="305"/>
    </row>
  </sheetData>
  <sheetProtection formatCells="0" formatColumns="0" formatRows="0" selectLockedCells="1"/>
  <dataConsolidate/>
  <mergeCells count="44">
    <mergeCell ref="B95:B97"/>
    <mergeCell ref="E57:K57"/>
    <mergeCell ref="B68:B70"/>
    <mergeCell ref="B82:B85"/>
    <mergeCell ref="D77:D78"/>
    <mergeCell ref="F78:F79"/>
    <mergeCell ref="J78:J79"/>
    <mergeCell ref="N78:N79"/>
    <mergeCell ref="J63:M63"/>
    <mergeCell ref="D94:E94"/>
    <mergeCell ref="E47:K47"/>
    <mergeCell ref="B51:C51"/>
    <mergeCell ref="E51:K51"/>
    <mergeCell ref="E52:K52"/>
    <mergeCell ref="E53:K53"/>
    <mergeCell ref="B55:C55"/>
    <mergeCell ref="E55:K55"/>
    <mergeCell ref="J18:K18"/>
    <mergeCell ref="B16:B17"/>
    <mergeCell ref="J16:K16"/>
    <mergeCell ref="J17:K17"/>
    <mergeCell ref="B48:C48"/>
    <mergeCell ref="E48:K48"/>
    <mergeCell ref="J33:K33"/>
    <mergeCell ref="J34:K34"/>
    <mergeCell ref="J35:K35"/>
    <mergeCell ref="B37:C37"/>
    <mergeCell ref="E42:K42"/>
    <mergeCell ref="B46:C46"/>
    <mergeCell ref="E46:K46"/>
    <mergeCell ref="B47:C47"/>
    <mergeCell ref="E37:K37"/>
    <mergeCell ref="J32:K32"/>
    <mergeCell ref="J21:K21"/>
    <mergeCell ref="J22:K22"/>
    <mergeCell ref="J23:K23"/>
    <mergeCell ref="J24:K24"/>
    <mergeCell ref="J25:K25"/>
    <mergeCell ref="J31:K31"/>
    <mergeCell ref="J26:K26"/>
    <mergeCell ref="J27:K27"/>
    <mergeCell ref="J28:K28"/>
    <mergeCell ref="J29:K29"/>
    <mergeCell ref="J30:K30"/>
  </mergeCells>
  <conditionalFormatting sqref="B46:C46">
    <cfRule type="expression" dxfId="222" priority="84" stopIfTrue="1">
      <formula>AND($D$46&lt;&gt;"",$D$46&lt;&gt;0)</formula>
    </cfRule>
    <cfRule type="expression" dxfId="221" priority="85" stopIfTrue="1">
      <formula>AND($D$46="",$D$46=0)</formula>
    </cfRule>
  </conditionalFormatting>
  <conditionalFormatting sqref="B47:C47">
    <cfRule type="expression" dxfId="220" priority="86" stopIfTrue="1">
      <formula>AND($D$47&lt;&gt;"",$D$47&lt;&gt;0)</formula>
    </cfRule>
    <cfRule type="expression" dxfId="219" priority="87" stopIfTrue="1">
      <formula>AND($D$47="",$D$47=0)</formula>
    </cfRule>
  </conditionalFormatting>
  <conditionalFormatting sqref="F100">
    <cfRule type="cellIs" dxfId="218" priority="46" stopIfTrue="1" operator="notEqual">
      <formula>0</formula>
    </cfRule>
  </conditionalFormatting>
  <conditionalFormatting sqref="F98:G98">
    <cfRule type="cellIs" dxfId="217" priority="122" stopIfTrue="1" operator="notEqual">
      <formula>0</formula>
    </cfRule>
  </conditionalFormatting>
  <conditionalFormatting sqref="F86:I86">
    <cfRule type="cellIs" dxfId="216" priority="23" stopIfTrue="1" operator="notEqual">
      <formula>0</formula>
    </cfRule>
  </conditionalFormatting>
  <conditionalFormatting sqref="G31:G32">
    <cfRule type="cellIs" dxfId="215" priority="83" stopIfTrue="1" operator="notEqual">
      <formula>0</formula>
    </cfRule>
  </conditionalFormatting>
  <conditionalFormatting sqref="G99:G101">
    <cfRule type="cellIs" dxfId="214" priority="43" stopIfTrue="1" operator="notEqual">
      <formula>0</formula>
    </cfRule>
  </conditionalFormatting>
  <conditionalFormatting sqref="H18:I19 G19 J19 G22:I23 G24:G30 H24:H32 I24:I35 G33:G35 J35">
    <cfRule type="cellIs" dxfId="213" priority="82" stopIfTrue="1" operator="notEqual">
      <formula>0</formula>
    </cfRule>
  </conditionalFormatting>
  <conditionalFormatting sqref="I71">
    <cfRule type="cellIs" dxfId="212" priority="131" stopIfTrue="1" operator="notEqual">
      <formula>0</formula>
    </cfRule>
  </conditionalFormatting>
  <conditionalFormatting sqref="K71:M71">
    <cfRule type="cellIs" dxfId="211" priority="125" stopIfTrue="1" operator="notEqual">
      <formula>0</formula>
    </cfRule>
  </conditionalFormatting>
  <conditionalFormatting sqref="K86:M86">
    <cfRule type="cellIs" dxfId="210" priority="21" stopIfTrue="1" operator="notEqual">
      <formula>0</formula>
    </cfRule>
  </conditionalFormatting>
  <conditionalFormatting sqref="O71:Q71">
    <cfRule type="cellIs" dxfId="209" priority="27" stopIfTrue="1" operator="notEqual">
      <formula>0</formula>
    </cfRule>
  </conditionalFormatting>
  <conditionalFormatting sqref="O86:Q86">
    <cfRule type="cellIs" dxfId="208" priority="132" stopIfTrue="1" operator="notEqual">
      <formula>0</formula>
    </cfRule>
  </conditionalFormatting>
  <conditionalFormatting sqref="S71:U71">
    <cfRule type="cellIs" dxfId="207" priority="124" stopIfTrue="1" operator="notEqual">
      <formula>0</formula>
    </cfRule>
  </conditionalFormatting>
  <conditionalFormatting sqref="P72">
    <cfRule type="expression" dxfId="206" priority="11">
      <formula>AND(P72&gt; -O71, P72 &lt;&gt; 0)</formula>
    </cfRule>
    <cfRule type="expression" dxfId="205" priority="12">
      <formula>O71&gt;=0</formula>
    </cfRule>
  </conditionalFormatting>
  <conditionalFormatting sqref="T72">
    <cfRule type="expression" dxfId="204" priority="9">
      <formula>AND(T72&gt; -S71, T72 &lt;&gt; 0)</formula>
    </cfRule>
    <cfRule type="expression" dxfId="203" priority="10">
      <formula>S71&gt;=0</formula>
    </cfRule>
  </conditionalFormatting>
  <conditionalFormatting sqref="H87">
    <cfRule type="expression" dxfId="202" priority="5">
      <formula>AND(H87&gt; -G86, H87 &lt;&gt; 0)</formula>
    </cfRule>
    <cfRule type="expression" dxfId="201" priority="6">
      <formula>G86&gt;=0</formula>
    </cfRule>
  </conditionalFormatting>
  <conditionalFormatting sqref="L87">
    <cfRule type="expression" dxfId="200" priority="3">
      <formula>AND(L87&gt; -K86, L87 &lt;&gt; 0)</formula>
    </cfRule>
    <cfRule type="expression" dxfId="199" priority="4">
      <formula>K86&gt;=0</formula>
    </cfRule>
  </conditionalFormatting>
  <conditionalFormatting sqref="P87">
    <cfRule type="expression" dxfId="198" priority="1">
      <formula>AND(P87&gt; -O86, P87 &lt;&gt; 0)</formula>
    </cfRule>
    <cfRule type="expression" dxfId="197" priority="2">
      <formula>O86&gt;=0</formula>
    </cfRule>
  </conditionalFormatting>
  <dataValidations count="6"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D81 F81 J81 N81" xr:uid="{BF44331A-1B2B-48A8-A7BE-769CB9B5C4C4}"/>
    <dataValidation allowBlank="1" showInputMessage="1" showErrorMessage="1" errorTitle="Standard" error="Bitte geben Sie hier den verwendeten Zinssatz ein!" promptTitle="Zinssatz" sqref="Q93:Q94" xr:uid="{6CB9FFDB-572A-4569-A2A8-3EEE90ACD51E}"/>
    <dataValidation type="decimal" allowBlank="1" showInputMessage="1" showErrorMessage="1" errorTitle="Standard" error="Bitte geben Sie einen Zahlenwert ein!" sqref="D56:D57 D62:E67 E57" xr:uid="{7CB3E1C7-53C0-43BC-AA8D-02EEC5F7EE8B}">
      <formula1>-1000000000</formula1>
      <formula2>1000000000</formula2>
    </dataValidation>
    <dataValidation allowBlank="1" showInputMessage="1" showErrorMessage="1" prompt="Tarifneutrale Unterdeckungs-Ausbuchung erfolgt mit + " sqref="M51" xr:uid="{8953BB40-5A5B-4263-818F-5338C6538654}"/>
    <dataValidation allowBlank="1" showInputMessage="1" showErrorMessage="1" promptTitle="WACC-Netz" prompt="- bei Unterdeckung keine Verzinsungspflicht (höchstens WACC-Netz)_x000a_- bei Überdeckungen Mindestverzinsung (WACC-Netz)" sqref="F67 J67 N67 R67" xr:uid="{5E2ADF7C-8D71-4224-ABDB-A50FF0D4A58C}"/>
    <dataValidation type="decimal" allowBlank="1" showInputMessage="1" showErrorMessage="1" promptTitle="Tarifneutrale Ausbuchung" prompt="Keine negative Werte_x000a_" sqref="P87 T72 H87 L87 P72" xr:uid="{F29521DF-4986-4CF4-8574-AAB6B90F197C}">
      <formula1>0</formula1>
      <formula2>MAX(-G71,0)</formula2>
    </dataValidation>
  </dataValidations>
  <hyperlinks>
    <hyperlink ref="J24:K24" location="Grosswasserkraft!A1" display="Siehe Formular 5.4" xr:uid="{A6370DF4-F5F0-4C27-B137-8C7362D791E8}"/>
    <hyperlink ref="J23:K23" location="'Art. 6 Abs. 5bis StromVG'!A1" display="Siehe Formular 5.5" xr:uid="{28289BAA-FD7F-4C2B-876A-78C39916CC78}"/>
    <hyperlink ref="J26:K26" location="'Art. 6 Abs. 5bis StromVG'!A1" display="Siehe Formular 5.5" xr:uid="{2BFD9730-EEB1-4BCF-A5A6-0195D8875008}"/>
  </hyperlinks>
  <pageMargins left="0.39370078740157483" right="0.19685039370078741" top="0.59055118110236227" bottom="0.47244094488188981" header="0.31496062992125984" footer="0.23622047244094491"/>
  <pageSetup paperSize="8" scale="41" orientation="landscape" r:id="rId1"/>
  <headerFooter scaleWithDoc="0">
    <oddHeader>&amp;C&amp;A; &amp;D</oddHeader>
    <oddFooter>&amp;LNachkalkulation Deckungsdifferenzen Energie 2024&amp;RSeite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5510-3E9A-412F-8D6E-980842B518A3}">
  <sheetPr codeName="Tabelle5">
    <outlinePr summaryBelow="0" summaryRight="0"/>
  </sheetPr>
  <dimension ref="A1:AA119"/>
  <sheetViews>
    <sheetView showGridLines="0" zoomScale="80" zoomScaleNormal="80" zoomScaleSheetLayoutView="40" workbookViewId="0">
      <selection activeCell="C8" sqref="C8"/>
    </sheetView>
  </sheetViews>
  <sheetFormatPr baseColWidth="10" defaultColWidth="11" defaultRowHeight="14" x14ac:dyDescent="0.3"/>
  <cols>
    <col min="1" max="1" width="7.81640625" style="2" customWidth="1"/>
    <col min="2" max="2" width="54.5429687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11" width="18.7265625" style="2" customWidth="1"/>
    <col min="12" max="13" width="17.453125" style="2" customWidth="1"/>
    <col min="14" max="14" width="18.72656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2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228"/>
      <c r="W1" s="228"/>
      <c r="X1" s="103"/>
      <c r="Y1" s="103"/>
      <c r="Z1" s="103"/>
      <c r="AA1" s="103"/>
    </row>
    <row r="2" spans="1:27" ht="15.5" x14ac:dyDescent="0.35">
      <c r="A2" s="1"/>
      <c r="B2" s="3" t="str">
        <f>"Kostenrechnung für Tarife "&amp;C8+2</f>
        <v>Kostenrechnung für Tarife 2027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  <c r="Z2" s="103"/>
      <c r="AA2" s="103"/>
    </row>
    <row r="3" spans="1:27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  <c r="Z3" s="103"/>
      <c r="AA3" s="103"/>
    </row>
    <row r="4" spans="1:27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20.25" customHeight="1" x14ac:dyDescent="0.4">
      <c r="A5" s="1"/>
      <c r="B5" s="4" t="str">
        <f>"Deckungsdifferenzen (DD) Energie "&amp;C8</f>
        <v>Deckungsdifferenzen (DD) Energie 2025</v>
      </c>
      <c r="C5" s="1"/>
      <c r="D5" s="1"/>
      <c r="E5" s="1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  <c r="Z5" s="103"/>
      <c r="AA5" s="103"/>
    </row>
    <row r="6" spans="1:27" x14ac:dyDescent="0.3">
      <c r="A6" s="1"/>
      <c r="B6" s="5" t="s">
        <v>105</v>
      </c>
      <c r="C6" s="1"/>
      <c r="D6" s="1"/>
      <c r="E6" s="1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  <c r="Z6" s="103"/>
      <c r="AA6" s="103"/>
    </row>
    <row r="7" spans="1:27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  <c r="Z7" s="103"/>
      <c r="AA7" s="103"/>
    </row>
    <row r="8" spans="1:27" s="9" customFormat="1" ht="15" customHeight="1" x14ac:dyDescent="0.3">
      <c r="A8" s="6"/>
      <c r="B8" s="12" t="s">
        <v>115</v>
      </c>
      <c r="C8" s="8">
        <v>2025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  <c r="Z8" s="31"/>
      <c r="AA8" s="31"/>
    </row>
    <row r="9" spans="1:27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  <c r="Z9" s="31"/>
      <c r="AA9" s="31"/>
    </row>
    <row r="10" spans="1:27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  <c r="Z10" s="31"/>
      <c r="AA10" s="31"/>
    </row>
    <row r="11" spans="1:27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6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  <c r="Z11" s="31"/>
      <c r="AA11" s="31"/>
    </row>
    <row r="12" spans="1:27" ht="15" customHeight="1" x14ac:dyDescent="0.3">
      <c r="A12" s="1"/>
      <c r="B12" s="15" t="s">
        <v>2</v>
      </c>
      <c r="C12" s="16">
        <v>45658</v>
      </c>
      <c r="D12" s="15" t="s">
        <v>3</v>
      </c>
      <c r="E12" s="16">
        <v>46022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  <c r="Z12" s="103"/>
      <c r="AA12" s="103"/>
    </row>
    <row r="13" spans="1:27" x14ac:dyDescent="0.3">
      <c r="A13" s="1"/>
      <c r="B13" s="12"/>
      <c r="C13" s="17"/>
      <c r="D13" s="1"/>
      <c r="E13" s="1"/>
      <c r="F13" s="1"/>
      <c r="G13" s="1"/>
      <c r="H13" s="1"/>
      <c r="I13" s="1"/>
      <c r="J13" s="1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  <c r="Z13" s="103"/>
      <c r="AA13" s="103"/>
    </row>
    <row r="14" spans="1:27" s="30" customFormat="1" ht="20.149999999999999" customHeight="1" x14ac:dyDescent="0.35">
      <c r="A14" s="25"/>
      <c r="B14" s="384" t="s">
        <v>4</v>
      </c>
      <c r="C14" s="385"/>
      <c r="D14" s="25"/>
      <c r="E14" s="387">
        <v>5.1100000000000003</v>
      </c>
      <c r="F14" s="388" t="s">
        <v>116</v>
      </c>
      <c r="G14" s="25"/>
      <c r="H14" s="25"/>
      <c r="I14" s="25"/>
      <c r="J14" s="25"/>
      <c r="K14" s="25"/>
      <c r="L14" s="233"/>
      <c r="M14" s="233"/>
      <c r="N14" s="231"/>
      <c r="O14" s="233"/>
      <c r="P14" s="233"/>
      <c r="Q14" s="233"/>
      <c r="R14" s="233"/>
      <c r="S14" s="233"/>
      <c r="T14" s="233"/>
      <c r="U14" s="233"/>
      <c r="V14" s="233"/>
      <c r="W14" s="233"/>
      <c r="X14" s="171"/>
      <c r="Y14" s="171"/>
      <c r="Z14" s="171"/>
      <c r="AA14" s="171"/>
    </row>
    <row r="15" spans="1:27" ht="60" customHeight="1" thickBot="1" x14ac:dyDescent="0.4">
      <c r="A15" s="1"/>
      <c r="B15" s="335" t="s">
        <v>157</v>
      </c>
      <c r="C15" s="3" t="str">
        <f>"IST-Gestehungskosten  "&amp;C8</f>
        <v>IST-Gestehungskosten  2025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  <c r="Z15" s="103"/>
      <c r="AA15" s="103"/>
    </row>
    <row r="16" spans="1:27" x14ac:dyDescent="0.3">
      <c r="A16" s="1"/>
      <c r="B16" s="412" t="s">
        <v>5</v>
      </c>
      <c r="C16" s="161" t="s">
        <v>6</v>
      </c>
      <c r="D16" s="20">
        <f>IF(C12&lt;&gt;"",C12,"")</f>
        <v>45658</v>
      </c>
      <c r="E16" s="21" t="s">
        <v>3</v>
      </c>
      <c r="F16" s="20">
        <f>IF(E12&lt;&gt;"",E12,"")</f>
        <v>46022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  <c r="Z16" s="103"/>
      <c r="AA16" s="103"/>
    </row>
    <row r="17" spans="1:27" ht="44.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13</v>
      </c>
      <c r="J17" s="416" t="s">
        <v>14</v>
      </c>
      <c r="K17" s="41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  <c r="Z17" s="103"/>
      <c r="AA17" s="103"/>
    </row>
    <row r="18" spans="1:27" s="30" customFormat="1" ht="18" customHeight="1" thickBot="1" x14ac:dyDescent="0.4">
      <c r="A18" s="25"/>
      <c r="B18" s="26" t="s">
        <v>15</v>
      </c>
      <c r="C18" s="27">
        <v>1700000</v>
      </c>
      <c r="D18" s="248">
        <v>1599842</v>
      </c>
      <c r="E18" s="85">
        <f>E29</f>
        <v>13950</v>
      </c>
      <c r="F18" s="85">
        <f>F29</f>
        <v>12450</v>
      </c>
      <c r="G18" s="253">
        <f>F18/E18</f>
        <v>0.89247311827956988</v>
      </c>
      <c r="H18" s="28">
        <f>C18/E18/10</f>
        <v>12.186379928315413</v>
      </c>
      <c r="I18" s="28">
        <f>D18/F18/10</f>
        <v>12.850136546184739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  <c r="Z18" s="171"/>
      <c r="AA18" s="171"/>
    </row>
    <row r="19" spans="1:27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  <c r="Z21" s="103"/>
      <c r="AA21" s="103"/>
    </row>
    <row r="22" spans="1:27" ht="15" customHeight="1" x14ac:dyDescent="0.3">
      <c r="A22" s="1"/>
      <c r="B22" s="42" t="s">
        <v>20</v>
      </c>
      <c r="C22" s="43">
        <v>160000</v>
      </c>
      <c r="D22" s="43">
        <v>160000</v>
      </c>
      <c r="E22" s="43">
        <v>2450</v>
      </c>
      <c r="F22" s="43">
        <v>2450</v>
      </c>
      <c r="G22" s="44">
        <f>E22/(E22+E25)</f>
        <v>0.16955017301038061</v>
      </c>
      <c r="H22" s="45">
        <f t="shared" ref="H22:I29" si="0">C22/E22/10</f>
        <v>6.5306122448979593</v>
      </c>
      <c r="I22" s="45">
        <f t="shared" si="0"/>
        <v>6.5306122448979593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  <c r="Z22" s="103"/>
      <c r="AA22" s="103"/>
    </row>
    <row r="23" spans="1:27" ht="15" customHeight="1" x14ac:dyDescent="0.3">
      <c r="A23" s="1"/>
      <c r="B23" s="46" t="s">
        <v>21</v>
      </c>
      <c r="C23" s="43">
        <v>160000</v>
      </c>
      <c r="D23" s="43">
        <v>160000</v>
      </c>
      <c r="E23" s="43">
        <v>2450</v>
      </c>
      <c r="F23" s="43">
        <v>2450</v>
      </c>
      <c r="G23" s="47">
        <f>F23/E23</f>
        <v>1</v>
      </c>
      <c r="H23" s="48">
        <f>C23/E23/10</f>
        <v>6.5306122448979593</v>
      </c>
      <c r="I23" s="48">
        <f>D23/F23/10</f>
        <v>6.5306122448979593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  <c r="Z23" s="103"/>
      <c r="AA23" s="103"/>
    </row>
    <row r="24" spans="1:27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  <c r="Z24" s="103"/>
      <c r="AA24" s="103"/>
    </row>
    <row r="25" spans="1:27" ht="15" customHeight="1" x14ac:dyDescent="0.3">
      <c r="A25" s="50"/>
      <c r="B25" s="42" t="s">
        <v>25</v>
      </c>
      <c r="C25" s="43">
        <v>1440000</v>
      </c>
      <c r="D25" s="43">
        <v>1200000</v>
      </c>
      <c r="E25" s="43">
        <v>12000</v>
      </c>
      <c r="F25" s="43">
        <v>10000</v>
      </c>
      <c r="G25" s="44">
        <f>E25/(E22+E25)</f>
        <v>0.83044982698961933</v>
      </c>
      <c r="H25" s="45">
        <f t="shared" si="0"/>
        <v>12</v>
      </c>
      <c r="I25" s="45">
        <f t="shared" si="0"/>
        <v>12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  <c r="Z25" s="103"/>
      <c r="AA25" s="103"/>
    </row>
    <row r="26" spans="1:27" ht="15" customHeight="1" x14ac:dyDescent="0.3">
      <c r="A26" s="50"/>
      <c r="B26" s="46" t="s">
        <v>21</v>
      </c>
      <c r="C26" s="43">
        <v>100000</v>
      </c>
      <c r="D26" s="43">
        <v>100000</v>
      </c>
      <c r="E26" s="43">
        <v>800</v>
      </c>
      <c r="F26" s="43">
        <v>800</v>
      </c>
      <c r="G26" s="47">
        <f>F26/E26</f>
        <v>1</v>
      </c>
      <c r="H26" s="48">
        <f>C26/E26/10</f>
        <v>12.5</v>
      </c>
      <c r="I26" s="48">
        <f>D26/F26/10</f>
        <v>12.5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  <c r="Z26" s="103"/>
      <c r="AA26" s="103"/>
    </row>
    <row r="27" spans="1:27" ht="15" customHeight="1" x14ac:dyDescent="0.3">
      <c r="A27" s="51"/>
      <c r="B27" s="42" t="s">
        <v>26</v>
      </c>
      <c r="C27" s="43">
        <v>38000</v>
      </c>
      <c r="D27" s="43">
        <v>36000</v>
      </c>
      <c r="E27" s="43">
        <f>E25-E26</f>
        <v>11200</v>
      </c>
      <c r="F27" s="43">
        <f>F25-F26</f>
        <v>9200</v>
      </c>
      <c r="G27" s="47">
        <f>F27/E27</f>
        <v>0.8214285714285714</v>
      </c>
      <c r="H27" s="45">
        <f>C27/E27/10</f>
        <v>0.3392857142857143</v>
      </c>
      <c r="I27" s="45">
        <f>D27/F27/10</f>
        <v>0.39130434782608697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  <c r="Z27" s="103"/>
      <c r="AA27" s="103"/>
    </row>
    <row r="28" spans="1:27" s="30" customFormat="1" x14ac:dyDescent="0.35">
      <c r="A28" s="51"/>
      <c r="B28" s="52" t="s">
        <v>27</v>
      </c>
      <c r="C28" s="53">
        <v>-55000</v>
      </c>
      <c r="D28" s="54"/>
      <c r="E28" s="53">
        <v>-500</v>
      </c>
      <c r="F28" s="54"/>
      <c r="G28" s="55">
        <f>E28/(E22+E25)</f>
        <v>-3.4602076124567477E-2</v>
      </c>
      <c r="H28" s="56">
        <f t="shared" si="0"/>
        <v>11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  <c r="Z28" s="171"/>
      <c r="AA28" s="171"/>
    </row>
    <row r="29" spans="1:27" s="30" customFormat="1" ht="18" customHeight="1" x14ac:dyDescent="0.35">
      <c r="A29" s="51"/>
      <c r="B29" s="57" t="s">
        <v>28</v>
      </c>
      <c r="C29" s="54">
        <f>C22+C25+C27+C28</f>
        <v>1583000</v>
      </c>
      <c r="D29" s="54">
        <f>D22+D25+D27</f>
        <v>1396000</v>
      </c>
      <c r="E29" s="54">
        <f>E22+E25+E28</f>
        <v>13950</v>
      </c>
      <c r="F29" s="54">
        <f>F22+F25</f>
        <v>12450</v>
      </c>
      <c r="G29" s="55">
        <f>G22+G25+G28</f>
        <v>0.96539792387543255</v>
      </c>
      <c r="H29" s="56">
        <f t="shared" si="0"/>
        <v>11.347670250896057</v>
      </c>
      <c r="I29" s="56">
        <f t="shared" si="0"/>
        <v>11.212851405622491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  <c r="Z29" s="171"/>
      <c r="AA29" s="171"/>
    </row>
    <row r="30" spans="1:27" ht="15" customHeight="1" x14ac:dyDescent="0.3">
      <c r="A30" s="58"/>
      <c r="B30" s="59" t="s">
        <v>29</v>
      </c>
      <c r="C30" s="60">
        <v>55000</v>
      </c>
      <c r="D30" s="60">
        <v>50000</v>
      </c>
      <c r="E30" s="61"/>
      <c r="F30" s="61"/>
      <c r="G30" s="62"/>
      <c r="H30" s="63">
        <f>C30/E29/10</f>
        <v>0.3942652329749104</v>
      </c>
      <c r="I30" s="63">
        <f>D30/F29/10</f>
        <v>0.40160642570281124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  <c r="Z30" s="103"/>
      <c r="AA30" s="103"/>
    </row>
    <row r="31" spans="1:27" ht="15" customHeight="1" x14ac:dyDescent="0.3">
      <c r="B31" s="42" t="s">
        <v>30</v>
      </c>
      <c r="C31" s="64"/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  <c r="Z31" s="103"/>
      <c r="AA31" s="103"/>
    </row>
    <row r="32" spans="1:27" ht="15" customHeight="1" x14ac:dyDescent="0.3">
      <c r="A32" s="58"/>
      <c r="B32" s="42" t="s">
        <v>31</v>
      </c>
      <c r="C32" s="67"/>
      <c r="D32" s="43">
        <v>55000</v>
      </c>
      <c r="E32" s="67"/>
      <c r="F32" s="67"/>
      <c r="G32" s="68"/>
      <c r="H32" s="45">
        <f>C32/E29/10</f>
        <v>0</v>
      </c>
      <c r="I32" s="45">
        <f>D32/F29/10</f>
        <v>0.44176706827309237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  <c r="Z32" s="103"/>
      <c r="AA32" s="103"/>
    </row>
    <row r="33" spans="1:27" s="30" customFormat="1" ht="18" customHeight="1" x14ac:dyDescent="0.3">
      <c r="A33" s="25"/>
      <c r="B33" s="57" t="s">
        <v>32</v>
      </c>
      <c r="C33" s="54">
        <f>C29+C30+C31</f>
        <v>1638000</v>
      </c>
      <c r="D33" s="54">
        <f>D29+D30+D31+D32</f>
        <v>1501000</v>
      </c>
      <c r="E33" s="54">
        <f>E29</f>
        <v>13950</v>
      </c>
      <c r="F33" s="54">
        <f>F29</f>
        <v>12450</v>
      </c>
      <c r="G33" s="55">
        <f>G29</f>
        <v>0.96539792387543255</v>
      </c>
      <c r="H33" s="56">
        <f>C33/E33/10</f>
        <v>11.741935483870968</v>
      </c>
      <c r="I33" s="56">
        <f>D33/F33/10</f>
        <v>12.056224899598394</v>
      </c>
      <c r="J33" s="423" t="str">
        <f>IFERROR(VLOOKUP(N32,#REF!,4,FALSE),"")</f>
        <v/>
      </c>
      <c r="K33" s="424"/>
      <c r="L33" s="234"/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  <c r="Z33" s="171"/>
      <c r="AA33" s="171"/>
    </row>
    <row r="34" spans="1:27" ht="18" customHeight="1" thickBot="1" x14ac:dyDescent="0.35">
      <c r="A34" s="1"/>
      <c r="B34" s="69" t="s">
        <v>33</v>
      </c>
      <c r="C34" s="70"/>
      <c r="D34" s="250">
        <f>'DD Energie 2024'!F98</f>
        <v>-1159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  <c r="Z34" s="103"/>
      <c r="AA34" s="103"/>
    </row>
    <row r="35" spans="1:27" ht="18" customHeight="1" thickBot="1" x14ac:dyDescent="0.35">
      <c r="B35" s="69" t="s">
        <v>34</v>
      </c>
      <c r="C35" s="74"/>
      <c r="D35" s="74">
        <f>D34+D33</f>
        <v>1499841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  <c r="Z35" s="103"/>
      <c r="AA35" s="103"/>
    </row>
    <row r="36" spans="1:27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</row>
    <row r="37" spans="1:27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2025 (+ Überdeckung)</v>
      </c>
      <c r="C37" s="430"/>
      <c r="D37" s="77">
        <f>D18-D35</f>
        <v>100001</v>
      </c>
      <c r="E37" s="440" t="str">
        <f>IF(D37=0,"",IF(D37&gt;0,"Dieser Betrag muss den Endkunden gutgeschrieben werden.","Dieser Betrag kann den Endkunden verrechnet werden."))</f>
        <v>Dieser Betrag muss den Endkunden gutgeschrieben werden.</v>
      </c>
      <c r="F37" s="441"/>
      <c r="G37" s="441"/>
      <c r="H37" s="441"/>
      <c r="I37" s="466"/>
      <c r="J37" s="440"/>
      <c r="K37" s="467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  <c r="Z37" s="171"/>
      <c r="AA37" s="171"/>
    </row>
    <row r="38" spans="1:27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  <c r="Z38" s="103"/>
      <c r="AA38" s="103"/>
    </row>
    <row r="39" spans="1:27" x14ac:dyDescent="0.3">
      <c r="A39" s="1"/>
      <c r="B39" s="12"/>
      <c r="C39" s="49"/>
      <c r="D39" s="49"/>
      <c r="E39" s="32"/>
      <c r="F39" s="32"/>
      <c r="G39" s="32"/>
      <c r="H39" s="49"/>
      <c r="I39" s="49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  <c r="Z39" s="103"/>
      <c r="AA39" s="103"/>
    </row>
    <row r="40" spans="1:27" ht="15.5" x14ac:dyDescent="0.35">
      <c r="A40" s="1"/>
      <c r="B40" s="3" t="s">
        <v>35</v>
      </c>
      <c r="C40" s="49"/>
      <c r="D40" s="49"/>
      <c r="E40" s="32"/>
      <c r="F40" s="31"/>
      <c r="G40" s="49"/>
      <c r="H40" s="49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  <c r="Z40" s="103"/>
      <c r="AA40" s="103"/>
    </row>
    <row r="41" spans="1:27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  <c r="Z41" s="103"/>
      <c r="AA41" s="103"/>
    </row>
    <row r="42" spans="1:27" s="30" customFormat="1" ht="18" customHeight="1" thickBot="1" x14ac:dyDescent="0.4">
      <c r="A42" s="25"/>
      <c r="B42" s="159" t="s">
        <v>39</v>
      </c>
      <c r="C42" s="330"/>
      <c r="D42" s="390">
        <v>0</v>
      </c>
      <c r="E42" s="431"/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  <c r="Z42" s="171"/>
      <c r="AA42" s="171"/>
    </row>
    <row r="43" spans="1:27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  <c r="Z43" s="103"/>
      <c r="AA43" s="103"/>
    </row>
    <row r="44" spans="1:27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  <c r="Z44" s="103"/>
      <c r="AA44" s="103"/>
    </row>
    <row r="45" spans="1:27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  <c r="Z45" s="103"/>
      <c r="AA45" s="103"/>
    </row>
    <row r="46" spans="1:27" s="84" customFormat="1" ht="15" customHeight="1" x14ac:dyDescent="0.35">
      <c r="A46" s="83"/>
      <c r="B46" s="434" t="s">
        <v>81</v>
      </c>
      <c r="C46" s="435"/>
      <c r="D46" s="337"/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  <c r="Z46" s="171"/>
      <c r="AA46" s="171"/>
    </row>
    <row r="47" spans="1:27" s="84" customFormat="1" ht="15" customHeight="1" x14ac:dyDescent="0.35"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  <c r="Z47" s="171"/>
      <c r="AA47" s="171"/>
    </row>
    <row r="48" spans="1:27" s="84" customFormat="1" ht="15" customHeight="1" thickBot="1" x14ac:dyDescent="0.4">
      <c r="A48" s="83"/>
      <c r="B48" s="418" t="s">
        <v>42</v>
      </c>
      <c r="C48" s="419"/>
      <c r="D48" s="85">
        <f>SUM(D46:D47)</f>
        <v>0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  <c r="Z48" s="171"/>
      <c r="AA48" s="171"/>
    </row>
    <row r="49" spans="1:27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  <c r="Z49" s="103"/>
      <c r="AA49" s="103"/>
    </row>
    <row r="50" spans="1:27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  <c r="Z50" s="103"/>
      <c r="AA50" s="103"/>
    </row>
    <row r="51" spans="1:27" s="84" customFormat="1" ht="15" customHeight="1" thickBot="1" x14ac:dyDescent="0.4">
      <c r="A51" s="83"/>
      <c r="B51" s="449" t="s">
        <v>44</v>
      </c>
      <c r="C51" s="450"/>
      <c r="D51" s="89">
        <f>D37+D42+D48</f>
        <v>100001</v>
      </c>
      <c r="E51" s="451" t="str">
        <f>IF(D51=0,"",IF(D51&gt;0,"Dieser Betrag muss den Endkunden gutgeschrieben werden.","Dieser Betrag kann den Endkunden verrechnet werden."))</f>
        <v>Dieser Betrag muss den Endkunden gutgeschrieben werden.</v>
      </c>
      <c r="F51" s="452"/>
      <c r="G51" s="452"/>
      <c r="H51" s="452"/>
      <c r="I51" s="452"/>
      <c r="J51" s="452"/>
      <c r="K51" s="45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  <c r="Z51" s="171"/>
      <c r="AA51" s="171"/>
    </row>
    <row r="52" spans="1:27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</row>
    <row r="53" spans="1:27" s="84" customFormat="1" ht="11.5" customHeight="1" x14ac:dyDescent="0.35">
      <c r="B53" s="92"/>
      <c r="C53" s="93"/>
      <c r="D53" s="93"/>
      <c r="E53" s="463"/>
      <c r="F53" s="464"/>
      <c r="G53" s="464"/>
      <c r="H53" s="464"/>
      <c r="I53" s="464"/>
      <c r="J53" s="464"/>
      <c r="K53" s="464"/>
      <c r="L53" s="239"/>
      <c r="M53" s="239"/>
      <c r="N53" s="240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</row>
    <row r="54" spans="1:27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</row>
    <row r="55" spans="1:27" s="11" customFormat="1" ht="15" customHeight="1" thickBot="1" x14ac:dyDescent="0.3">
      <c r="A55" s="10"/>
      <c r="B55" s="429" t="s">
        <v>159</v>
      </c>
      <c r="C55" s="457"/>
      <c r="D55" s="163">
        <v>2.25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  <c r="Z55" s="241"/>
      <c r="AA55" s="241"/>
    </row>
    <row r="56" spans="1:27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</row>
    <row r="57" spans="1:27" s="84" customFormat="1" ht="15" customHeight="1" x14ac:dyDescent="0.35">
      <c r="B57" s="90"/>
      <c r="C57" s="98"/>
      <c r="D57" s="91"/>
      <c r="E57" s="463"/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</row>
    <row r="58" spans="1:27" s="84" customFormat="1" ht="1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</row>
    <row r="59" spans="1:27" hidden="1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x14ac:dyDescent="0.3">
      <c r="M60" s="103"/>
      <c r="N60" s="103"/>
      <c r="O60" s="103"/>
      <c r="P60" s="103"/>
    </row>
    <row r="61" spans="1:27" x14ac:dyDescent="0.3">
      <c r="M61" s="103"/>
      <c r="N61" s="103"/>
      <c r="O61" s="103"/>
      <c r="P61" s="103"/>
    </row>
    <row r="62" spans="1:27" s="326" customFormat="1" ht="28.5" customHeight="1" x14ac:dyDescent="0.35">
      <c r="A62" s="99" t="s">
        <v>147</v>
      </c>
      <c r="B62" s="324"/>
      <c r="C62" s="324"/>
      <c r="D62" s="324"/>
      <c r="E62" s="324"/>
      <c r="F62" s="324"/>
      <c r="G62" s="324"/>
      <c r="H62" s="324"/>
      <c r="I62" s="325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</row>
    <row r="63" spans="1:27" s="102" customFormat="1" ht="13" customHeight="1" x14ac:dyDescent="0.35">
      <c r="A63" s="170"/>
      <c r="I63" s="173"/>
    </row>
    <row r="64" spans="1:27" ht="28.5" x14ac:dyDescent="0.35">
      <c r="A64" s="162"/>
      <c r="B64" s="283" t="s">
        <v>144</v>
      </c>
      <c r="F64" s="14"/>
      <c r="G64" s="103"/>
      <c r="H64" s="103"/>
      <c r="I64" s="164" t="s">
        <v>82</v>
      </c>
      <c r="J64" s="103"/>
      <c r="L64" s="103"/>
      <c r="M64" s="164" t="s">
        <v>99</v>
      </c>
      <c r="N64" s="194"/>
      <c r="P64" s="103"/>
      <c r="Q64" s="164" t="s">
        <v>84</v>
      </c>
      <c r="R64" s="102"/>
      <c r="S64" s="102"/>
      <c r="T64" s="102"/>
      <c r="U64" s="164" t="s">
        <v>86</v>
      </c>
    </row>
    <row r="65" spans="1:24" ht="29.15" customHeight="1" x14ac:dyDescent="0.3">
      <c r="B65" s="104"/>
      <c r="F65" s="327" t="s">
        <v>153</v>
      </c>
      <c r="H65" s="104"/>
      <c r="I65" s="103"/>
      <c r="J65" s="137" t="s">
        <v>128</v>
      </c>
      <c r="K65" s="103"/>
      <c r="L65" s="103"/>
      <c r="M65" s="103"/>
      <c r="N65" s="137" t="s">
        <v>127</v>
      </c>
      <c r="O65" s="103"/>
      <c r="P65" s="103"/>
      <c r="Q65" s="103"/>
      <c r="R65" s="322" t="s">
        <v>114</v>
      </c>
      <c r="S65" s="9"/>
      <c r="T65" s="9"/>
      <c r="U65" s="9"/>
    </row>
    <row r="66" spans="1:24" ht="14.25" customHeight="1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K66" s="103"/>
      <c r="L66" s="103"/>
      <c r="M66" s="103"/>
      <c r="N66" s="254" t="s">
        <v>116</v>
      </c>
      <c r="O66" s="103"/>
      <c r="P66" s="103"/>
      <c r="Q66" s="103"/>
      <c r="R66" s="254" t="s">
        <v>116</v>
      </c>
      <c r="S66" s="9"/>
      <c r="T66" s="9"/>
      <c r="U66" s="9"/>
    </row>
    <row r="67" spans="1:24" ht="16" thickBot="1" x14ac:dyDescent="0.4">
      <c r="B67" s="3" t="s">
        <v>149</v>
      </c>
      <c r="C67" s="81">
        <v>1</v>
      </c>
      <c r="D67" s="14">
        <v>2</v>
      </c>
      <c r="E67" s="14">
        <v>3</v>
      </c>
      <c r="F67" s="193">
        <f>'DD Energie 2024'!F67</f>
        <v>3.98</v>
      </c>
      <c r="G67" s="106">
        <v>5</v>
      </c>
      <c r="H67" s="106">
        <v>6</v>
      </c>
      <c r="I67" s="106">
        <v>7</v>
      </c>
      <c r="J67" s="193">
        <f>'DD Energie 2024'!J67</f>
        <v>3.98</v>
      </c>
      <c r="K67" s="103"/>
      <c r="L67" s="14">
        <v>8</v>
      </c>
      <c r="M67" s="103"/>
      <c r="N67" s="163">
        <v>4.13</v>
      </c>
      <c r="O67" s="103"/>
      <c r="P67" s="103"/>
      <c r="Q67" s="103"/>
      <c r="R67" s="163">
        <f>N67</f>
        <v>4.13</v>
      </c>
      <c r="S67" s="9"/>
      <c r="T67" s="9"/>
      <c r="U67" s="9"/>
      <c r="V67" s="14"/>
      <c r="W67" s="104"/>
    </row>
    <row r="68" spans="1:24" ht="25.5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x14ac:dyDescent="0.3">
      <c r="A69" s="114"/>
      <c r="B69" s="461"/>
      <c r="C69" s="115" t="s">
        <v>80</v>
      </c>
      <c r="D69" s="116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8" customHeight="1" thickBot="1" x14ac:dyDescent="0.35">
      <c r="B71" s="126" t="s">
        <v>119</v>
      </c>
      <c r="C71" s="195">
        <f>'DD Energie 2024'!C71</f>
        <v>6000</v>
      </c>
      <c r="D71" s="195">
        <f>'DD Energie 2024'!D71</f>
        <v>-1000</v>
      </c>
      <c r="E71" s="195">
        <f>'DD Energie 2024'!E71</f>
        <v>5000</v>
      </c>
      <c r="F71" s="195">
        <f>'DD Energie 2024'!F71</f>
        <v>199</v>
      </c>
      <c r="G71" s="195">
        <f>'DD Energie 2024'!G71</f>
        <v>5199</v>
      </c>
      <c r="H71" s="195">
        <f>'DD Energie 2024'!H71</f>
        <v>-2000</v>
      </c>
      <c r="I71" s="210">
        <f>'DD Energie 2024'!I71</f>
        <v>3199</v>
      </c>
      <c r="J71" s="169">
        <f>'DD Energie 2024'!J71</f>
        <v>127.3202</v>
      </c>
      <c r="K71" s="147">
        <f>'DD Energie 2024'!K71</f>
        <v>3326.3202000000001</v>
      </c>
      <c r="L71" s="147">
        <f>'DD Energie 2024'!L71</f>
        <v>-1159</v>
      </c>
      <c r="M71" s="205">
        <f>'DD Energie 2024'!M71</f>
        <v>2167.3202000000001</v>
      </c>
      <c r="N71" s="169">
        <f>M71*(N67/100)</f>
        <v>89.51032425999999</v>
      </c>
      <c r="O71" s="147">
        <f>N71+M71</f>
        <v>2256.8305242599999</v>
      </c>
      <c r="P71" s="191">
        <f>'DD Energie 2024'!P71</f>
        <v>-1126.7897719800001</v>
      </c>
      <c r="Q71" s="210">
        <f>O71+P71+P72</f>
        <v>1130.0407522799999</v>
      </c>
      <c r="R71" s="169">
        <f>Q71*(R67/100)</f>
        <v>46.670683069163992</v>
      </c>
      <c r="S71" s="147">
        <f>R71+Q71</f>
        <v>1176.7114353491638</v>
      </c>
      <c r="T71" s="155">
        <f>-S71-T72</f>
        <v>-1176.7114353491638</v>
      </c>
      <c r="U71" s="168">
        <f>S71+T71+T72</f>
        <v>0</v>
      </c>
      <c r="V71" s="214"/>
    </row>
    <row r="72" spans="1:24" x14ac:dyDescent="0.3">
      <c r="B72" s="188" t="s">
        <v>91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92">
        <f>'DD Energie 2024'!P72</f>
        <v>0</v>
      </c>
      <c r="Q72" s="167"/>
      <c r="T72" s="252">
        <v>0</v>
      </c>
      <c r="U72" s="104"/>
    </row>
    <row r="73" spans="1:24" ht="24.75" customHeight="1" x14ac:dyDescent="0.3"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133"/>
    </row>
    <row r="74" spans="1:24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133"/>
    </row>
    <row r="75" spans="1:24" s="321" customFormat="1" ht="28.5" customHeight="1" x14ac:dyDescent="0.35">
      <c r="A75" s="99" t="s">
        <v>148</v>
      </c>
      <c r="B75" s="319"/>
      <c r="C75" s="319"/>
      <c r="D75" s="319"/>
      <c r="E75" s="319"/>
      <c r="F75" s="319"/>
      <c r="G75" s="319"/>
      <c r="H75" s="320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</row>
    <row r="76" spans="1:24" s="102" customFormat="1" ht="14.9" customHeight="1" x14ac:dyDescent="0.35">
      <c r="A76" s="177"/>
      <c r="G76" s="173"/>
    </row>
    <row r="77" spans="1:24" s="102" customFormat="1" ht="28.5" customHeight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100</v>
      </c>
      <c r="Q77" s="164" t="s">
        <v>87</v>
      </c>
    </row>
    <row r="78" spans="1:24" s="84" customFormat="1" ht="15" customHeight="1" x14ac:dyDescent="0.35">
      <c r="B78" s="90"/>
      <c r="C78" s="90"/>
      <c r="D78" s="465"/>
      <c r="E78" s="135"/>
      <c r="F78" s="465"/>
      <c r="G78" s="95"/>
      <c r="H78" s="183"/>
      <c r="I78" s="95"/>
      <c r="J78" s="443" t="s">
        <v>135</v>
      </c>
      <c r="K78" s="95"/>
      <c r="N78" s="443" t="s">
        <v>136</v>
      </c>
    </row>
    <row r="79" spans="1:24" x14ac:dyDescent="0.3">
      <c r="B79" s="31"/>
      <c r="C79" s="180"/>
      <c r="D79" s="31"/>
      <c r="E79" s="31"/>
      <c r="F79" s="465"/>
      <c r="G79" s="31"/>
      <c r="H79" s="151"/>
      <c r="I79" s="31"/>
      <c r="J79" s="443"/>
      <c r="N79" s="443"/>
    </row>
    <row r="80" spans="1:24" ht="14.5" thickBot="1" x14ac:dyDescent="0.35">
      <c r="B80" s="31"/>
      <c r="C80" s="180"/>
      <c r="D80" s="254" t="s">
        <v>116</v>
      </c>
      <c r="E80" s="31"/>
      <c r="F80" s="328" t="s">
        <v>116</v>
      </c>
      <c r="G80" s="31"/>
      <c r="J80" s="328" t="s">
        <v>116</v>
      </c>
      <c r="N80" s="328" t="s">
        <v>116</v>
      </c>
    </row>
    <row r="81" spans="1:19" ht="16" thickBot="1" x14ac:dyDescent="0.4">
      <c r="A81" s="136"/>
      <c r="B81" s="3" t="s">
        <v>66</v>
      </c>
      <c r="C81" s="14"/>
      <c r="D81" s="193">
        <f>'DD Energie 2024'!$D$81</f>
        <v>2.25</v>
      </c>
      <c r="E81" s="14"/>
      <c r="F81" s="96">
        <f>D55</f>
        <v>2.25</v>
      </c>
      <c r="G81" s="31"/>
      <c r="H81" s="184"/>
      <c r="I81" s="14"/>
      <c r="J81" s="96">
        <f>F81</f>
        <v>2.25</v>
      </c>
      <c r="K81" s="137"/>
      <c r="L81" s="137"/>
      <c r="M81" s="137"/>
      <c r="N81" s="96">
        <f>F81</f>
        <v>2.25</v>
      </c>
      <c r="O81" s="14"/>
      <c r="P81" s="14"/>
      <c r="Q81" s="14"/>
      <c r="R81" s="14"/>
    </row>
    <row r="82" spans="1:19" s="103" customFormat="1" ht="28.4" customHeight="1" x14ac:dyDescent="0.3">
      <c r="A82" s="136"/>
      <c r="B82" s="460"/>
      <c r="C82" s="138" t="s">
        <v>46</v>
      </c>
      <c r="D82" s="111" t="s">
        <v>48</v>
      </c>
      <c r="E82" s="227" t="s">
        <v>106</v>
      </c>
      <c r="F82" s="110" t="s">
        <v>48</v>
      </c>
      <c r="G82" s="111" t="s">
        <v>106</v>
      </c>
      <c r="H82" s="112" t="s">
        <v>51</v>
      </c>
      <c r="I82" s="207" t="s">
        <v>61</v>
      </c>
      <c r="J82" s="110" t="s">
        <v>48</v>
      </c>
      <c r="K82" s="111" t="s">
        <v>106</v>
      </c>
      <c r="L82" s="112" t="s">
        <v>51</v>
      </c>
      <c r="M82" s="207" t="s">
        <v>52</v>
      </c>
      <c r="N82" s="110" t="s">
        <v>48</v>
      </c>
      <c r="O82" s="111" t="s">
        <v>106</v>
      </c>
      <c r="P82" s="150" t="s">
        <v>51</v>
      </c>
      <c r="Q82" s="156" t="s">
        <v>154</v>
      </c>
      <c r="R82" s="113"/>
    </row>
    <row r="83" spans="1:19" s="103" customFormat="1" ht="14.25" customHeight="1" x14ac:dyDescent="0.3">
      <c r="A83" s="136"/>
      <c r="B83" s="461"/>
      <c r="C83" s="139" t="s">
        <v>107</v>
      </c>
      <c r="D83" s="124" t="s">
        <v>55</v>
      </c>
      <c r="E83" s="211" t="s">
        <v>58</v>
      </c>
      <c r="F83" s="123" t="s">
        <v>55</v>
      </c>
      <c r="G83" s="124" t="s">
        <v>59</v>
      </c>
      <c r="H83" s="121" t="str">
        <f>"Tarife "&amp; C8+1</f>
        <v>Tarife 2026</v>
      </c>
      <c r="I83" s="213" t="s">
        <v>57</v>
      </c>
      <c r="J83" s="123" t="s">
        <v>55</v>
      </c>
      <c r="K83" s="124" t="s">
        <v>60</v>
      </c>
      <c r="L83" s="121" t="str">
        <f>"Tarife "&amp; C8+2</f>
        <v>Tarife 2027</v>
      </c>
      <c r="M83" s="213" t="s">
        <v>57</v>
      </c>
      <c r="N83" s="123" t="s">
        <v>55</v>
      </c>
      <c r="O83" s="124" t="s">
        <v>62</v>
      </c>
      <c r="P83" s="152" t="str">
        <f>"Tarife "&amp; C8+3</f>
        <v>Tarife 2028</v>
      </c>
      <c r="Q83" s="157" t="s">
        <v>53</v>
      </c>
      <c r="R83" s="122"/>
    </row>
    <row r="84" spans="1:19" s="103" customFormat="1" ht="14.25" customHeight="1" x14ac:dyDescent="0.3">
      <c r="A84" s="136"/>
      <c r="B84" s="461"/>
      <c r="C84" s="139"/>
      <c r="D84" s="124"/>
      <c r="E84" s="211"/>
      <c r="F84" s="123"/>
      <c r="G84" s="124"/>
      <c r="H84" s="121" t="s">
        <v>63</v>
      </c>
      <c r="I84" s="213"/>
      <c r="J84" s="123"/>
      <c r="K84" s="124"/>
      <c r="L84" s="121" t="s">
        <v>64</v>
      </c>
      <c r="M84" s="213"/>
      <c r="N84" s="123"/>
      <c r="O84" s="124"/>
      <c r="P84" s="152" t="s">
        <v>65</v>
      </c>
      <c r="Q84" s="158"/>
      <c r="R84" s="122"/>
    </row>
    <row r="85" spans="1:19" s="103" customFormat="1" ht="14.25" customHeight="1" thickBot="1" x14ac:dyDescent="0.35">
      <c r="A85" s="136"/>
      <c r="B85" s="461"/>
      <c r="C85" s="139" t="s">
        <v>38</v>
      </c>
      <c r="D85" s="124" t="s">
        <v>38</v>
      </c>
      <c r="E85" s="211" t="s">
        <v>38</v>
      </c>
      <c r="F85" s="123" t="s">
        <v>38</v>
      </c>
      <c r="G85" s="124" t="s">
        <v>38</v>
      </c>
      <c r="H85" s="121" t="s">
        <v>38</v>
      </c>
      <c r="I85" s="213" t="s">
        <v>38</v>
      </c>
      <c r="J85" s="123" t="s">
        <v>38</v>
      </c>
      <c r="K85" s="124" t="s">
        <v>38</v>
      </c>
      <c r="L85" s="121" t="s">
        <v>38</v>
      </c>
      <c r="M85" s="213" t="s">
        <v>38</v>
      </c>
      <c r="N85" s="123" t="s">
        <v>38</v>
      </c>
      <c r="O85" s="124" t="s">
        <v>38</v>
      </c>
      <c r="P85" s="152" t="s">
        <v>38</v>
      </c>
      <c r="Q85" s="158" t="s">
        <v>38</v>
      </c>
      <c r="R85" s="125" t="s">
        <v>14</v>
      </c>
    </row>
    <row r="86" spans="1:19" s="171" customFormat="1" ht="27" customHeight="1" thickBot="1" x14ac:dyDescent="0.35">
      <c r="A86" s="103"/>
      <c r="B86" s="182" t="str">
        <f>"Übersicht DD 2024 bis Abbau Null "</f>
        <v xml:space="preserve">Übersicht DD 2024 bis Abbau Null </v>
      </c>
      <c r="C86" s="189">
        <f>'DD Energie 2024'!C86</f>
        <v>-36000</v>
      </c>
      <c r="D86" s="189">
        <f>'DD Energie 2024'!D86</f>
        <v>-810</v>
      </c>
      <c r="E86" s="212">
        <f>'DD Energie 2024'!E86</f>
        <v>-36810</v>
      </c>
      <c r="F86" s="284">
        <f>E86*(F81/100)</f>
        <v>-828.22500000000002</v>
      </c>
      <c r="G86" s="285">
        <f>E86+F86</f>
        <v>-37638.224999999999</v>
      </c>
      <c r="H86" s="147">
        <f>'DD Energie 2024'!H86</f>
        <v>9420.0283541666668</v>
      </c>
      <c r="I86" s="210">
        <f>G86+H86+H87</f>
        <v>-18218.196645833334</v>
      </c>
      <c r="J86" s="169">
        <f>I86*(J81/100)</f>
        <v>-409.90942453125001</v>
      </c>
      <c r="K86" s="147">
        <f>J86+I86</f>
        <v>-18628.106070364585</v>
      </c>
      <c r="L86" s="149">
        <f>IF(L87&lt;ABS(K86),(-K86-L87)/2,0)</f>
        <v>9314.0530351822927</v>
      </c>
      <c r="M86" s="205">
        <f>K86+L86+L87</f>
        <v>-9314.0530351822927</v>
      </c>
      <c r="N86" s="169">
        <f>M86*(N81/100)</f>
        <v>-209.56619329160156</v>
      </c>
      <c r="O86" s="147">
        <f>N86+M86</f>
        <v>-9523.6192284738936</v>
      </c>
      <c r="P86" s="155">
        <f>-O86-P87</f>
        <v>9523.6192284738936</v>
      </c>
      <c r="Q86" s="168">
        <f>O86+P86+P87</f>
        <v>0</v>
      </c>
      <c r="R86" s="214"/>
    </row>
    <row r="87" spans="1:19" x14ac:dyDescent="0.3">
      <c r="B87" s="188" t="s">
        <v>91</v>
      </c>
      <c r="C87" s="151"/>
      <c r="D87" s="31"/>
      <c r="F87" s="31"/>
      <c r="G87" s="31"/>
      <c r="H87" s="306">
        <f>'DD Energie 2024'!H87</f>
        <v>10000</v>
      </c>
      <c r="I87" s="151"/>
      <c r="L87" s="252">
        <v>0</v>
      </c>
      <c r="P87" s="252">
        <v>0</v>
      </c>
      <c r="Q87" s="104"/>
    </row>
    <row r="88" spans="1:19" ht="24.75" customHeight="1" x14ac:dyDescent="0.3">
      <c r="H88" s="186" t="s">
        <v>93</v>
      </c>
      <c r="I88" s="185"/>
      <c r="L88" s="186" t="s">
        <v>93</v>
      </c>
      <c r="P88" s="186" t="s">
        <v>93</v>
      </c>
    </row>
    <row r="89" spans="1:19" x14ac:dyDescent="0.3">
      <c r="F89" s="190"/>
      <c r="G89" s="185"/>
      <c r="J89" s="190"/>
      <c r="N89" s="190"/>
    </row>
    <row r="90" spans="1:19" x14ac:dyDescent="0.3">
      <c r="F90" s="190"/>
      <c r="G90" s="185"/>
      <c r="J90" s="190"/>
      <c r="N90" s="190"/>
    </row>
    <row r="91" spans="1:19" ht="15" customHeight="1" x14ac:dyDescent="0.3">
      <c r="F91" s="190"/>
      <c r="G91" s="185"/>
      <c r="J91" s="131"/>
      <c r="N91" s="131"/>
    </row>
    <row r="92" spans="1:19" s="19" customFormat="1" ht="33" customHeight="1" x14ac:dyDescent="0.3">
      <c r="A92" s="2"/>
      <c r="B92" s="283" t="s">
        <v>144</v>
      </c>
      <c r="C92" s="141"/>
      <c r="E92" s="164" t="s">
        <v>103</v>
      </c>
      <c r="F92" s="104"/>
      <c r="I92" s="164" t="s">
        <v>100</v>
      </c>
      <c r="M92" s="164" t="s">
        <v>101</v>
      </c>
      <c r="Q92" s="164" t="s">
        <v>102</v>
      </c>
    </row>
    <row r="93" spans="1:19" s="19" customFormat="1" ht="30.75" customHeight="1" x14ac:dyDescent="0.3">
      <c r="A93" s="2"/>
      <c r="C93" s="141"/>
      <c r="F93" s="251" t="s">
        <v>135</v>
      </c>
      <c r="J93" s="251" t="s">
        <v>136</v>
      </c>
      <c r="N93" s="251" t="s">
        <v>137</v>
      </c>
    </row>
    <row r="94" spans="1:19" ht="14.5" thickBot="1" x14ac:dyDescent="0.35">
      <c r="B94" s="31"/>
      <c r="C94" s="180"/>
      <c r="D94" s="254" t="s">
        <v>116</v>
      </c>
      <c r="E94" s="31"/>
      <c r="F94" s="328" t="s">
        <v>116</v>
      </c>
      <c r="G94" s="31"/>
      <c r="J94" s="328" t="s">
        <v>116</v>
      </c>
      <c r="N94" s="328" t="s">
        <v>116</v>
      </c>
    </row>
    <row r="95" spans="1:19" s="19" customFormat="1" ht="16" thickBot="1" x14ac:dyDescent="0.4">
      <c r="A95" s="18"/>
      <c r="B95" s="3" t="s">
        <v>68</v>
      </c>
      <c r="C95" s="14"/>
      <c r="D95" s="96">
        <f>D55</f>
        <v>2.25</v>
      </c>
      <c r="E95" s="14"/>
      <c r="F95" s="96">
        <f>J81</f>
        <v>2.25</v>
      </c>
      <c r="G95" s="31"/>
      <c r="H95" s="184"/>
      <c r="I95" s="14"/>
      <c r="J95" s="96">
        <f>N81</f>
        <v>2.25</v>
      </c>
      <c r="K95" s="137"/>
      <c r="L95" s="137"/>
      <c r="M95" s="137"/>
      <c r="N95" s="96">
        <f>J95</f>
        <v>2.25</v>
      </c>
      <c r="O95" s="18"/>
      <c r="P95" s="18"/>
      <c r="Q95" s="18"/>
      <c r="R95" s="14"/>
      <c r="S95" s="18"/>
    </row>
    <row r="96" spans="1:19" ht="28.4" customHeight="1" x14ac:dyDescent="0.3">
      <c r="B96" s="460"/>
      <c r="C96" s="138" t="s">
        <v>46</v>
      </c>
      <c r="D96" s="111" t="s">
        <v>48</v>
      </c>
      <c r="E96" s="245" t="s">
        <v>106</v>
      </c>
      <c r="F96" s="110" t="s">
        <v>48</v>
      </c>
      <c r="G96" s="111" t="s">
        <v>106</v>
      </c>
      <c r="H96" s="112" t="s">
        <v>51</v>
      </c>
      <c r="I96" s="207" t="s">
        <v>52</v>
      </c>
      <c r="J96" s="110" t="s">
        <v>48</v>
      </c>
      <c r="K96" s="111" t="s">
        <v>106</v>
      </c>
      <c r="L96" s="112" t="s">
        <v>51</v>
      </c>
      <c r="M96" s="207" t="s">
        <v>52</v>
      </c>
      <c r="N96" s="110" t="s">
        <v>48</v>
      </c>
      <c r="O96" s="111" t="s">
        <v>106</v>
      </c>
      <c r="P96" s="150" t="s">
        <v>51</v>
      </c>
      <c r="Q96" s="156" t="s">
        <v>154</v>
      </c>
      <c r="R96" s="113"/>
    </row>
    <row r="97" spans="1:24" x14ac:dyDescent="0.3">
      <c r="B97" s="461"/>
      <c r="C97" s="139" t="s">
        <v>108</v>
      </c>
      <c r="D97" s="124" t="s">
        <v>55</v>
      </c>
      <c r="E97" s="211" t="s">
        <v>59</v>
      </c>
      <c r="F97" s="123" t="s">
        <v>55</v>
      </c>
      <c r="G97" s="290" t="s">
        <v>60</v>
      </c>
      <c r="H97" s="121" t="str">
        <f>"Tarife "&amp; C8+2</f>
        <v>Tarife 2027</v>
      </c>
      <c r="I97" s="213" t="s">
        <v>57</v>
      </c>
      <c r="J97" s="123" t="s">
        <v>55</v>
      </c>
      <c r="K97" s="124" t="s">
        <v>62</v>
      </c>
      <c r="L97" s="121" t="str">
        <f>"Tarife "&amp; C8+3</f>
        <v>Tarife 2028</v>
      </c>
      <c r="M97" s="213" t="s">
        <v>57</v>
      </c>
      <c r="N97" s="123" t="s">
        <v>55</v>
      </c>
      <c r="O97" s="124" t="s">
        <v>67</v>
      </c>
      <c r="P97" s="152" t="str">
        <f>"Tarife "&amp; C8+4</f>
        <v>Tarife 2029</v>
      </c>
      <c r="Q97" s="157" t="s">
        <v>53</v>
      </c>
      <c r="R97" s="122"/>
    </row>
    <row r="98" spans="1:24" x14ac:dyDescent="0.3">
      <c r="B98" s="461"/>
      <c r="C98" s="139"/>
      <c r="D98" s="124"/>
      <c r="E98" s="211"/>
      <c r="F98" s="123"/>
      <c r="G98" s="124"/>
      <c r="H98" s="121" t="s">
        <v>63</v>
      </c>
      <c r="I98" s="213"/>
      <c r="J98" s="123"/>
      <c r="K98" s="124"/>
      <c r="L98" s="121" t="s">
        <v>64</v>
      </c>
      <c r="M98" s="213"/>
      <c r="N98" s="123"/>
      <c r="O98" s="124"/>
      <c r="P98" s="152" t="s">
        <v>65</v>
      </c>
      <c r="Q98" s="158"/>
      <c r="R98" s="122"/>
    </row>
    <row r="99" spans="1:24" ht="14.5" thickBot="1" x14ac:dyDescent="0.35">
      <c r="B99" s="461"/>
      <c r="C99" s="139" t="s">
        <v>38</v>
      </c>
      <c r="D99" s="124" t="s">
        <v>38</v>
      </c>
      <c r="E99" s="211" t="s">
        <v>38</v>
      </c>
      <c r="F99" s="123" t="s">
        <v>38</v>
      </c>
      <c r="G99" s="124" t="s">
        <v>38</v>
      </c>
      <c r="H99" s="121" t="s">
        <v>38</v>
      </c>
      <c r="I99" s="213" t="s">
        <v>38</v>
      </c>
      <c r="J99" s="123" t="s">
        <v>38</v>
      </c>
      <c r="K99" s="124" t="s">
        <v>38</v>
      </c>
      <c r="L99" s="121" t="s">
        <v>38</v>
      </c>
      <c r="M99" s="213" t="s">
        <v>38</v>
      </c>
      <c r="N99" s="123" t="s">
        <v>38</v>
      </c>
      <c r="O99" s="124" t="s">
        <v>38</v>
      </c>
      <c r="P99" s="152" t="s">
        <v>38</v>
      </c>
      <c r="Q99" s="158" t="s">
        <v>38</v>
      </c>
      <c r="R99" s="125" t="s">
        <v>14</v>
      </c>
    </row>
    <row r="100" spans="1:24" s="171" customFormat="1" ht="27" customHeight="1" thickBot="1" x14ac:dyDescent="0.35">
      <c r="A100" s="103"/>
      <c r="B100" s="182" t="str">
        <f>"Übersicht DD 2025 bis Abbau Null "</f>
        <v xml:space="preserve">Übersicht DD 2025 bis Abbau Null </v>
      </c>
      <c r="C100" s="140">
        <f>D51</f>
        <v>100001</v>
      </c>
      <c r="D100" s="129">
        <f>C100*(D95/100)</f>
        <v>2250.0225</v>
      </c>
      <c r="E100" s="212">
        <f>D100+C100</f>
        <v>102251.02250000001</v>
      </c>
      <c r="F100" s="298">
        <f>E100*(F95/100)</f>
        <v>2300.64800625</v>
      </c>
      <c r="G100" s="299">
        <f>E100+F100</f>
        <v>104551.67050625001</v>
      </c>
      <c r="H100" s="149">
        <f>IF(H101&lt;ABS(G100),(-G100-H101)/3*(1+F95/100),0)</f>
        <v>-35634.694364213545</v>
      </c>
      <c r="I100" s="210">
        <f>G100+H100+H101</f>
        <v>68916.976142036467</v>
      </c>
      <c r="J100" s="169">
        <f>I100*(J95/100)</f>
        <v>1550.6319631958204</v>
      </c>
      <c r="K100" s="147">
        <f>J100+I100</f>
        <v>70467.608105232284</v>
      </c>
      <c r="L100" s="149">
        <f>IF(L101&lt;ABS(K100),(-K100-L101)/2,0)</f>
        <v>-35233.804052616142</v>
      </c>
      <c r="M100" s="205">
        <f>K100+L100+L101</f>
        <v>35233.804052616142</v>
      </c>
      <c r="N100" s="169">
        <f>M100*(N95/100)</f>
        <v>792.7605911838632</v>
      </c>
      <c r="O100" s="147">
        <f>N100+M100</f>
        <v>36026.564643800004</v>
      </c>
      <c r="P100" s="155">
        <f>-O100-P101</f>
        <v>-36026.564643800004</v>
      </c>
      <c r="Q100" s="168">
        <f>O100+P100+P101</f>
        <v>0</v>
      </c>
      <c r="R100" s="214"/>
    </row>
    <row r="101" spans="1:24" x14ac:dyDescent="0.3">
      <c r="B101" s="188" t="s">
        <v>91</v>
      </c>
      <c r="C101" s="31"/>
      <c r="D101" s="31"/>
      <c r="F101" s="31"/>
      <c r="G101" s="31"/>
      <c r="H101" s="252">
        <v>0</v>
      </c>
      <c r="I101" s="31"/>
      <c r="J101" s="103"/>
      <c r="K101" s="103"/>
      <c r="L101" s="252">
        <v>0</v>
      </c>
      <c r="M101" s="103"/>
      <c r="N101" s="103"/>
      <c r="O101" s="103"/>
      <c r="P101" s="252">
        <v>0</v>
      </c>
      <c r="Q101" s="104"/>
    </row>
    <row r="102" spans="1:24" ht="24.75" customHeight="1" x14ac:dyDescent="0.3">
      <c r="F102" s="31"/>
      <c r="G102" s="31"/>
      <c r="H102" s="186" t="s">
        <v>93</v>
      </c>
      <c r="L102" s="186" t="s">
        <v>93</v>
      </c>
      <c r="P102" s="186" t="s">
        <v>93</v>
      </c>
    </row>
    <row r="103" spans="1:24" x14ac:dyDescent="0.3">
      <c r="F103" s="31"/>
      <c r="G103" s="31"/>
      <c r="H103" s="291"/>
      <c r="L103" s="190"/>
      <c r="P103" s="190"/>
    </row>
    <row r="104" spans="1:24" x14ac:dyDescent="0.3">
      <c r="B104" s="143"/>
      <c r="C104" s="31"/>
      <c r="D104" s="31"/>
      <c r="E104" s="31"/>
      <c r="F104" s="31"/>
      <c r="G104" s="31"/>
      <c r="H104" s="144"/>
      <c r="L104" s="144"/>
      <c r="P104" s="144"/>
      <c r="Q104" s="104"/>
    </row>
    <row r="105" spans="1:24" s="102" customFormat="1" ht="28.5" customHeight="1" x14ac:dyDescent="0.35">
      <c r="A105" s="145" t="s">
        <v>74</v>
      </c>
      <c r="B105" s="100"/>
      <c r="C105" s="100"/>
      <c r="D105" s="100"/>
      <c r="E105" s="100"/>
      <c r="F105" s="100"/>
      <c r="G105" s="100"/>
      <c r="H105" s="100"/>
      <c r="I105" s="100"/>
      <c r="J105" s="101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</row>
    <row r="107" spans="1:24" ht="15.5" x14ac:dyDescent="0.35">
      <c r="B107" s="3" t="s">
        <v>74</v>
      </c>
      <c r="C107" s="81" t="s">
        <v>92</v>
      </c>
      <c r="D107" s="81" t="s">
        <v>75</v>
      </c>
      <c r="E107" s="14" t="s">
        <v>76</v>
      </c>
      <c r="F107" s="14" t="s">
        <v>77</v>
      </c>
      <c r="G107" s="81" t="s">
        <v>98</v>
      </c>
    </row>
    <row r="108" spans="1:24" ht="16" thickBot="1" x14ac:dyDescent="0.4">
      <c r="B108" s="3"/>
      <c r="C108" s="317" t="s">
        <v>150</v>
      </c>
      <c r="D108" s="445" t="s">
        <v>151</v>
      </c>
      <c r="E108" s="446"/>
      <c r="F108" s="14"/>
      <c r="G108" s="81"/>
    </row>
    <row r="109" spans="1:24" ht="34" customHeight="1" x14ac:dyDescent="0.3">
      <c r="B109" s="460"/>
      <c r="C109" s="121" t="s">
        <v>45</v>
      </c>
      <c r="D109" s="124" t="s">
        <v>146</v>
      </c>
      <c r="E109" s="318" t="s">
        <v>145</v>
      </c>
      <c r="F109" s="112" t="s">
        <v>120</v>
      </c>
      <c r="G109" s="217" t="s">
        <v>120</v>
      </c>
    </row>
    <row r="110" spans="1:24" x14ac:dyDescent="0.3">
      <c r="B110" s="461"/>
      <c r="C110" s="215"/>
      <c r="D110" s="146">
        <f>$C$8</f>
        <v>2025</v>
      </c>
      <c r="E110" s="146">
        <f>$C$8</f>
        <v>2025</v>
      </c>
      <c r="F110" s="146">
        <f>E110+1</f>
        <v>2026</v>
      </c>
      <c r="G110" s="244">
        <f>E110+2</f>
        <v>2027</v>
      </c>
    </row>
    <row r="111" spans="1:24" ht="14.5" thickBot="1" x14ac:dyDescent="0.35">
      <c r="B111" s="461"/>
      <c r="C111" s="139" t="s">
        <v>38</v>
      </c>
      <c r="D111" s="124" t="s">
        <v>38</v>
      </c>
      <c r="E111" s="179" t="s">
        <v>38</v>
      </c>
      <c r="F111" s="121" t="s">
        <v>38</v>
      </c>
      <c r="G111" s="218" t="s">
        <v>38</v>
      </c>
    </row>
    <row r="112" spans="1:24" ht="14.5" thickBot="1" x14ac:dyDescent="0.35">
      <c r="B112" s="126" t="s">
        <v>78</v>
      </c>
      <c r="C112" s="222">
        <f>M71</f>
        <v>2167.3202000000001</v>
      </c>
      <c r="D112" s="222">
        <f>SUM(D114)</f>
        <v>-18218.196645833334</v>
      </c>
      <c r="E112" s="222">
        <f>C100</f>
        <v>100001</v>
      </c>
      <c r="F112" s="223">
        <f>SUM(F114:F115)</f>
        <v>8293.2385821866665</v>
      </c>
      <c r="G112" s="286">
        <f>SUM(G113:G115)</f>
        <v>-27497.352764380415</v>
      </c>
    </row>
    <row r="113" spans="2:10" ht="14.5" thickBot="1" x14ac:dyDescent="0.35">
      <c r="B113" s="216" t="str">
        <f>"davon t ["&amp;$C$8&amp;"]"</f>
        <v>davon t [2025]</v>
      </c>
      <c r="C113" s="301"/>
      <c r="D113" s="301"/>
      <c r="E113" s="301"/>
      <c r="F113" s="301"/>
      <c r="G113" s="226">
        <f>H100</f>
        <v>-35634.694364213545</v>
      </c>
    </row>
    <row r="114" spans="2:10" ht="14.5" thickBot="1" x14ac:dyDescent="0.35">
      <c r="B114" s="216" t="str">
        <f>"davon t-1 ["&amp;$C$8-1&amp;"]"</f>
        <v>davon t-1 [2024]</v>
      </c>
      <c r="C114" s="302"/>
      <c r="D114" s="219">
        <f>I86</f>
        <v>-18218.196645833334</v>
      </c>
      <c r="E114" s="302"/>
      <c r="F114" s="221">
        <f>H86</f>
        <v>9420.0283541666668</v>
      </c>
      <c r="G114" s="225">
        <f>L86</f>
        <v>9314.0530351822927</v>
      </c>
    </row>
    <row r="115" spans="2:10" ht="14.5" thickBot="1" x14ac:dyDescent="0.35">
      <c r="B115" s="216" t="str">
        <f>"davon t-2 ["&amp;$C$8-2&amp;"]"</f>
        <v>davon t-2 [2023]</v>
      </c>
      <c r="C115" s="302"/>
      <c r="D115" s="302"/>
      <c r="E115" s="302"/>
      <c r="F115" s="221">
        <f>P71</f>
        <v>-1126.7897719800001</v>
      </c>
      <c r="G115" s="225">
        <f>T71</f>
        <v>-1176.7114353491638</v>
      </c>
    </row>
    <row r="116" spans="2:10" ht="14.5" thickBot="1" x14ac:dyDescent="0.35">
      <c r="B116" s="246" t="str">
        <f>"davon t-3 ["&amp;$C$8-3&amp;"]"</f>
        <v>davon t-3 [2022]</v>
      </c>
      <c r="C116" s="304"/>
      <c r="D116" s="304"/>
      <c r="E116" s="304"/>
      <c r="F116" s="304"/>
      <c r="G116" s="305"/>
    </row>
    <row r="117" spans="2:10" ht="14.5" thickBot="1" x14ac:dyDescent="0.35">
      <c r="B117" s="288" t="s">
        <v>124</v>
      </c>
      <c r="C117" s="103"/>
      <c r="D117" s="103"/>
      <c r="E117" s="103"/>
      <c r="F117" s="305"/>
      <c r="G117" s="305"/>
    </row>
    <row r="119" spans="2:10" x14ac:dyDescent="0.3">
      <c r="J119" s="103"/>
    </row>
  </sheetData>
  <sheetProtection formatCells="0" formatColumns="0" formatRows="0" selectLockedCells="1"/>
  <dataConsolidate/>
  <mergeCells count="45">
    <mergeCell ref="D108:E108"/>
    <mergeCell ref="B109:B111"/>
    <mergeCell ref="J18:K18"/>
    <mergeCell ref="B16:B17"/>
    <mergeCell ref="J16:K16"/>
    <mergeCell ref="J17:K17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B48:C48"/>
    <mergeCell ref="E48:K48"/>
    <mergeCell ref="J33:K33"/>
    <mergeCell ref="J34:K34"/>
    <mergeCell ref="J35:K35"/>
    <mergeCell ref="B37:C37"/>
    <mergeCell ref="E37:I37"/>
    <mergeCell ref="J37:K37"/>
    <mergeCell ref="E42:K42"/>
    <mergeCell ref="B46:C46"/>
    <mergeCell ref="E46:K46"/>
    <mergeCell ref="B47:C47"/>
    <mergeCell ref="E47:K47"/>
    <mergeCell ref="N78:N79"/>
    <mergeCell ref="B82:B85"/>
    <mergeCell ref="B96:B99"/>
    <mergeCell ref="B51:C51"/>
    <mergeCell ref="E51:K51"/>
    <mergeCell ref="E52:K52"/>
    <mergeCell ref="E53:K53"/>
    <mergeCell ref="B55:C55"/>
    <mergeCell ref="E55:K55"/>
    <mergeCell ref="E57:K57"/>
    <mergeCell ref="B68:B70"/>
    <mergeCell ref="D77:D78"/>
    <mergeCell ref="F78:F79"/>
    <mergeCell ref="J78:J79"/>
  </mergeCells>
  <conditionalFormatting sqref="F112">
    <cfRule type="cellIs" dxfId="196" priority="58" stopIfTrue="1" operator="notEqual">
      <formula>0</formula>
    </cfRule>
  </conditionalFormatting>
  <conditionalFormatting sqref="F114:F115">
    <cfRule type="cellIs" dxfId="195" priority="53" stopIfTrue="1" operator="notEqual">
      <formula>0</formula>
    </cfRule>
  </conditionalFormatting>
  <conditionalFormatting sqref="F86:I86">
    <cfRule type="cellIs" dxfId="194" priority="21" stopIfTrue="1" operator="notEqual">
      <formula>0</formula>
    </cfRule>
  </conditionalFormatting>
  <conditionalFormatting sqref="F100:I100">
    <cfRule type="cellIs" dxfId="193" priority="31" stopIfTrue="1" operator="notEqual">
      <formula>0</formula>
    </cfRule>
  </conditionalFormatting>
  <conditionalFormatting sqref="G31:G32">
    <cfRule type="cellIs" dxfId="192" priority="92" stopIfTrue="1" operator="notEqual">
      <formula>0</formula>
    </cfRule>
  </conditionalFormatting>
  <conditionalFormatting sqref="G112:G115">
    <cfRule type="cellIs" dxfId="191" priority="52" stopIfTrue="1" operator="notEqual">
      <formula>0</formula>
    </cfRule>
  </conditionalFormatting>
  <conditionalFormatting sqref="H18:I19 G19 J19 G22:I23 G24:G30 H24:H32 I24:I35 G33:G35 J35">
    <cfRule type="cellIs" dxfId="190" priority="91" stopIfTrue="1" operator="notEqual">
      <formula>0</formula>
    </cfRule>
  </conditionalFormatting>
  <conditionalFormatting sqref="I71">
    <cfRule type="cellIs" dxfId="189" priority="39" stopIfTrue="1" operator="notEqual">
      <formula>0</formula>
    </cfRule>
  </conditionalFormatting>
  <conditionalFormatting sqref="K71:M71">
    <cfRule type="cellIs" dxfId="188" priority="116" stopIfTrue="1" operator="notEqual">
      <formula>0</formula>
    </cfRule>
  </conditionalFormatting>
  <conditionalFormatting sqref="K86:M86">
    <cfRule type="cellIs" dxfId="187" priority="35" stopIfTrue="1" operator="notEqual">
      <formula>0</formula>
    </cfRule>
  </conditionalFormatting>
  <conditionalFormatting sqref="K100:M100">
    <cfRule type="cellIs" dxfId="186" priority="29" stopIfTrue="1" operator="notEqual">
      <formula>0</formula>
    </cfRule>
  </conditionalFormatting>
  <conditionalFormatting sqref="O71:Q71">
    <cfRule type="cellIs" dxfId="185" priority="24" stopIfTrue="1" operator="notEqual">
      <formula>0</formula>
    </cfRule>
  </conditionalFormatting>
  <conditionalFormatting sqref="O86:Q86">
    <cfRule type="cellIs" dxfId="184" priority="33" stopIfTrue="1" operator="notEqual">
      <formula>0</formula>
    </cfRule>
  </conditionalFormatting>
  <conditionalFormatting sqref="O100:Q100">
    <cfRule type="cellIs" dxfId="183" priority="27" stopIfTrue="1" operator="notEqual">
      <formula>0</formula>
    </cfRule>
  </conditionalFormatting>
  <conditionalFormatting sqref="S71:U71">
    <cfRule type="cellIs" dxfId="182" priority="36" stopIfTrue="1" operator="notEqual">
      <formula>0</formula>
    </cfRule>
  </conditionalFormatting>
  <conditionalFormatting sqref="T72">
    <cfRule type="expression" dxfId="181" priority="19">
      <formula>AND(T72&gt; -S71, T72 &lt;&gt; 0)</formula>
    </cfRule>
    <cfRule type="expression" dxfId="180" priority="20">
      <formula>S71&gt;=0</formula>
    </cfRule>
  </conditionalFormatting>
  <conditionalFormatting sqref="L87">
    <cfRule type="expression" dxfId="179" priority="17">
      <formula>AND(L87&gt; -K86, L87 &lt;&gt; 0)</formula>
    </cfRule>
    <cfRule type="expression" dxfId="178" priority="18">
      <formula>K86&gt;=0</formula>
    </cfRule>
  </conditionalFormatting>
  <conditionalFormatting sqref="P87">
    <cfRule type="expression" dxfId="177" priority="15">
      <formula>AND(P87&gt; -O86, P87 &lt;&gt; 0)</formula>
    </cfRule>
    <cfRule type="expression" dxfId="176" priority="16">
      <formula>O86&gt;=0</formula>
    </cfRule>
  </conditionalFormatting>
  <conditionalFormatting sqref="H101">
    <cfRule type="expression" dxfId="175" priority="13">
      <formula>AND(H101&gt; -G100, H101 &lt;&gt; 0)</formula>
    </cfRule>
    <cfRule type="expression" dxfId="174" priority="14">
      <formula>G100&gt;=0</formula>
    </cfRule>
  </conditionalFormatting>
  <conditionalFormatting sqref="L101">
    <cfRule type="expression" dxfId="173" priority="11">
      <formula>AND(L101&gt; -K100, L101 &lt;&gt; 0)</formula>
    </cfRule>
    <cfRule type="expression" dxfId="172" priority="12">
      <formula>K100&gt;=0</formula>
    </cfRule>
  </conditionalFormatting>
  <conditionalFormatting sqref="P101">
    <cfRule type="expression" dxfId="171" priority="9">
      <formula>AND(P101&gt; -O100, P101 &lt;&gt; 0)</formula>
    </cfRule>
    <cfRule type="expression" dxfId="170" priority="10">
      <formula>O100&gt;=0</formula>
    </cfRule>
  </conditionalFormatting>
  <conditionalFormatting sqref="B46:C46">
    <cfRule type="expression" dxfId="169" priority="1" stopIfTrue="1">
      <formula>AND($D$46&lt;&gt;"",$D$46&lt;&gt;0)</formula>
    </cfRule>
    <cfRule type="expression" dxfId="168" priority="2" stopIfTrue="1">
      <formula>AND($D$46="",$D$46=0)</formula>
    </cfRule>
  </conditionalFormatting>
  <conditionalFormatting sqref="B47:C47">
    <cfRule type="expression" dxfId="167" priority="3" stopIfTrue="1">
      <formula>AND($D$47&lt;&gt;"",$D$47&lt;&gt;0)</formula>
    </cfRule>
    <cfRule type="expression" dxfId="166" priority="4" stopIfTrue="1">
      <formula>AND($D$47="",$D$47=0)</formula>
    </cfRule>
  </conditionalFormatting>
  <dataValidations count="5">
    <dataValidation allowBlank="1" showInputMessage="1" showErrorMessage="1" prompt="Tarifneutrale Unterdeckungs-Ausbuchung erfolgt mit + " sqref="M51" xr:uid="{352DAABD-7E18-4656-AE96-1B0BF10DF436}"/>
    <dataValidation type="decimal" allowBlank="1" showInputMessage="1" showErrorMessage="1" errorTitle="Standard" error="Bitte geben Sie einen Zahlenwert ein!" sqref="D62:E67" xr:uid="{CFA16F07-851B-4964-AAA5-BA0688DC938E}">
      <formula1>-1000000000</formula1>
      <formula2>1000000000</formula2>
    </dataValidation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N95 J95 F81 J81 N81 D95 F95" xr:uid="{C6A9EB73-3C54-4DA3-B534-5AC659536381}"/>
    <dataValidation allowBlank="1" showInputMessage="1" showErrorMessage="1" promptTitle="WACC-Netz" prompt="- bei Unterdeckung keine Verzinsungspflicht (höchstens WACC-Netz)_x000a_- bei Überdeckungen Mindestverzinsung (WACC-Netz)" sqref="R67 N67" xr:uid="{8C578967-4528-441A-9687-73FF72A6A57C}"/>
    <dataValidation type="decimal" allowBlank="1" showInputMessage="1" showErrorMessage="1" promptTitle="Tarifneutrale Ausbuchung" prompt="Keine negative Werte_x000a_" sqref="T72 L87 P87 H101 L101 P101" xr:uid="{B4776DF4-B46F-48D1-8C5D-0FB3CDDB6AF6}">
      <formula1>0</formula1>
      <formula2>MAX(-G71,0)</formula2>
    </dataValidation>
  </dataValidations>
  <hyperlinks>
    <hyperlink ref="J24:K24" location="Grosswasserkraft!A1" display="Siehe Formular 5.4" xr:uid="{5EBF4BE8-62A3-4507-B1D4-858A2F2D934A}"/>
    <hyperlink ref="J23:K23" location="'Art. 6 Abs. 5bis StromVG'!A1" display="Siehe Formular 5.5" xr:uid="{8BD04778-EE44-49B9-9724-0D4EC9F5312E}"/>
    <hyperlink ref="J26:K26" location="'Art. 6 Abs. 5bis StromVG'!A1" display="Siehe Formular 5.5" xr:uid="{AB6DBC06-C900-40E3-B3D0-829364F11050}"/>
  </hyperlinks>
  <pageMargins left="0.39370078740157483" right="0.19685039370078741" top="0.78740157480314965" bottom="0.86614173228346458" header="0.31496062992125984" footer="0.23622047244094491"/>
  <pageSetup paperSize="8" scale="47" fitToHeight="2" orientation="landscape" r:id="rId1"/>
  <headerFooter scaleWithDoc="0">
    <oddHeader>&amp;C&amp;A; &amp;D</oddHeader>
    <oddFooter>&amp;LNachkalkulation Deckungsdifferenzen Energie 2025&amp;RSeite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1EB7-4724-402E-AFB8-905060A6A92B}">
  <sheetPr codeName="Tabelle6">
    <outlinePr summaryBelow="0" summaryRight="0"/>
  </sheetPr>
  <dimension ref="A1:Z131"/>
  <sheetViews>
    <sheetView showGridLines="0" zoomScale="80" zoomScaleNormal="80" zoomScaleSheetLayoutView="40" workbookViewId="0">
      <selection activeCell="C8" sqref="C8"/>
    </sheetView>
  </sheetViews>
  <sheetFormatPr baseColWidth="10" defaultColWidth="11" defaultRowHeight="14" x14ac:dyDescent="0.3"/>
  <cols>
    <col min="1" max="1" width="7.81640625" style="2" customWidth="1"/>
    <col min="2" max="2" width="54.5429687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9" width="18.7265625" style="2" customWidth="1"/>
    <col min="10" max="10" width="19.1796875" style="2" customWidth="1"/>
    <col min="11" max="11" width="19.7265625" style="2" customWidth="1"/>
    <col min="12" max="13" width="17.453125" style="2" customWidth="1"/>
    <col min="14" max="14" width="19.4531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2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228"/>
      <c r="W1" s="228"/>
      <c r="X1" s="103"/>
      <c r="Y1" s="103"/>
      <c r="Z1" s="103"/>
    </row>
    <row r="2" spans="1:26" ht="15.5" x14ac:dyDescent="0.35">
      <c r="A2" s="1"/>
      <c r="B2" s="3" t="str">
        <f>"Kostenrechnung für Tarife "&amp;C8+2</f>
        <v>Kostenrechnung für Tarife 2028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  <c r="Z2" s="103"/>
    </row>
    <row r="3" spans="1:26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  <c r="Z3" s="103"/>
    </row>
    <row r="4" spans="1:26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  <c r="Z4" s="103"/>
    </row>
    <row r="5" spans="1:26" ht="20.25" customHeight="1" x14ac:dyDescent="0.4">
      <c r="A5" s="1"/>
      <c r="B5" s="4" t="str">
        <f>"Deckungsdifferenzen (DD) Energie "&amp;C8</f>
        <v>Deckungsdifferenzen (DD) Energie 2026</v>
      </c>
      <c r="C5" s="1"/>
      <c r="D5" s="1"/>
      <c r="E5" s="1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  <c r="Z5" s="103"/>
    </row>
    <row r="6" spans="1:26" x14ac:dyDescent="0.3">
      <c r="A6" s="1"/>
      <c r="B6" s="5" t="s">
        <v>105</v>
      </c>
      <c r="C6" s="1"/>
      <c r="D6" s="1"/>
      <c r="E6" s="1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  <c r="Z6" s="103"/>
    </row>
    <row r="7" spans="1:26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  <c r="Z7" s="103"/>
    </row>
    <row r="8" spans="1:26" s="9" customFormat="1" ht="15" customHeight="1" x14ac:dyDescent="0.3">
      <c r="A8" s="6"/>
      <c r="B8" s="12" t="s">
        <v>115</v>
      </c>
      <c r="C8" s="8">
        <v>2026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  <c r="Z8" s="31"/>
    </row>
    <row r="9" spans="1:26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  <c r="Z9" s="31"/>
    </row>
    <row r="10" spans="1:26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  <c r="Z10" s="31"/>
    </row>
    <row r="11" spans="1:26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6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  <c r="Z11" s="31"/>
    </row>
    <row r="12" spans="1:26" ht="15" customHeight="1" x14ac:dyDescent="0.3">
      <c r="A12" s="1"/>
      <c r="B12" s="15" t="s">
        <v>2</v>
      </c>
      <c r="C12" s="16">
        <v>46023</v>
      </c>
      <c r="D12" s="15" t="s">
        <v>3</v>
      </c>
      <c r="E12" s="16">
        <v>46387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  <c r="Z12" s="103"/>
    </row>
    <row r="13" spans="1:26" x14ac:dyDescent="0.3">
      <c r="A13" s="1"/>
      <c r="B13" s="12"/>
      <c r="C13" s="17"/>
      <c r="D13" s="1"/>
      <c r="E13" s="1"/>
      <c r="F13" s="1"/>
      <c r="G13" s="1"/>
      <c r="H13" s="1"/>
      <c r="I13" s="1"/>
      <c r="J13" s="1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  <c r="Z13" s="103"/>
    </row>
    <row r="14" spans="1:26" s="30" customFormat="1" ht="20.149999999999999" customHeight="1" x14ac:dyDescent="0.35">
      <c r="A14" s="25"/>
      <c r="B14" s="384" t="s">
        <v>4</v>
      </c>
      <c r="C14" s="385"/>
      <c r="D14" s="25"/>
      <c r="E14" s="387">
        <v>5.1100000000000003</v>
      </c>
      <c r="F14" s="388" t="s">
        <v>116</v>
      </c>
      <c r="G14" s="25"/>
      <c r="H14" s="25"/>
      <c r="I14" s="25"/>
      <c r="J14" s="25"/>
      <c r="K14" s="25"/>
      <c r="L14" s="233"/>
      <c r="M14" s="233"/>
      <c r="N14" s="231"/>
      <c r="O14" s="233"/>
      <c r="P14" s="233"/>
      <c r="Q14" s="233"/>
      <c r="R14" s="233"/>
      <c r="S14" s="233"/>
      <c r="T14" s="233"/>
      <c r="U14" s="233"/>
      <c r="V14" s="233"/>
      <c r="W14" s="233"/>
      <c r="X14" s="171"/>
      <c r="Y14" s="171"/>
      <c r="Z14" s="171"/>
    </row>
    <row r="15" spans="1:26" ht="60" customHeight="1" thickBot="1" x14ac:dyDescent="0.4">
      <c r="A15" s="1"/>
      <c r="B15" s="335" t="s">
        <v>157</v>
      </c>
      <c r="C15" s="3" t="str">
        <f>"IST-Gestehungskosten  "&amp;C8</f>
        <v>IST-Gestehungskosten  2026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  <c r="Z15" s="103"/>
    </row>
    <row r="16" spans="1:26" x14ac:dyDescent="0.3">
      <c r="A16" s="1"/>
      <c r="B16" s="412" t="s">
        <v>5</v>
      </c>
      <c r="C16" s="161" t="s">
        <v>6</v>
      </c>
      <c r="D16" s="20">
        <f>IF(C12&lt;&gt;"",C12,"")</f>
        <v>46023</v>
      </c>
      <c r="E16" s="21" t="s">
        <v>3</v>
      </c>
      <c r="F16" s="20">
        <f>IF(E12&lt;&gt;"",E12,"")</f>
        <v>46387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  <c r="Z16" s="103"/>
    </row>
    <row r="17" spans="1:26" ht="44.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13</v>
      </c>
      <c r="J17" s="416" t="s">
        <v>14</v>
      </c>
      <c r="K17" s="41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  <c r="Z17" s="103"/>
    </row>
    <row r="18" spans="1:26" s="30" customFormat="1" ht="18" customHeight="1" thickBot="1" x14ac:dyDescent="0.4">
      <c r="A18" s="25"/>
      <c r="B18" s="26" t="s">
        <v>15</v>
      </c>
      <c r="C18" s="27">
        <v>1780000</v>
      </c>
      <c r="D18" s="248">
        <v>1695000</v>
      </c>
      <c r="E18" s="85">
        <f>E29</f>
        <v>14770</v>
      </c>
      <c r="F18" s="85">
        <f>F29</f>
        <v>13200</v>
      </c>
      <c r="G18" s="253">
        <f>F18/E18</f>
        <v>0.89370345294515907</v>
      </c>
      <c r="H18" s="28">
        <f>C18/E18/10</f>
        <v>12.051455653351388</v>
      </c>
      <c r="I18" s="28">
        <f>D18/F18/10</f>
        <v>12.84090909090909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  <c r="Z18" s="171"/>
    </row>
    <row r="19" spans="1:26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  <c r="Z21" s="103"/>
    </row>
    <row r="22" spans="1:26" ht="15" customHeight="1" x14ac:dyDescent="0.3">
      <c r="A22" s="1"/>
      <c r="B22" s="42" t="s">
        <v>20</v>
      </c>
      <c r="C22" s="43">
        <v>175000</v>
      </c>
      <c r="D22" s="43">
        <v>100000</v>
      </c>
      <c r="E22" s="43">
        <v>2300</v>
      </c>
      <c r="F22" s="43">
        <v>1200</v>
      </c>
      <c r="G22" s="44">
        <f>E22/(E22+E25)</f>
        <v>0.15032679738562091</v>
      </c>
      <c r="H22" s="45">
        <f t="shared" ref="H22:I29" si="0">C22/E22/10</f>
        <v>7.6086956521739122</v>
      </c>
      <c r="I22" s="45">
        <f t="shared" si="0"/>
        <v>8.3333333333333321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  <c r="Z22" s="103"/>
    </row>
    <row r="23" spans="1:26" ht="15" customHeight="1" x14ac:dyDescent="0.3">
      <c r="A23" s="1"/>
      <c r="B23" s="46" t="s">
        <v>21</v>
      </c>
      <c r="C23" s="43">
        <v>175000</v>
      </c>
      <c r="D23" s="43">
        <v>100000</v>
      </c>
      <c r="E23" s="43">
        <v>2300</v>
      </c>
      <c r="F23" s="43">
        <v>1200</v>
      </c>
      <c r="G23" s="47">
        <f>F23/E23</f>
        <v>0.52173913043478259</v>
      </c>
      <c r="H23" s="48">
        <f>C23/E23/10</f>
        <v>7.6086956521739122</v>
      </c>
      <c r="I23" s="48">
        <f>D23/F23/10</f>
        <v>8.3333333333333321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  <c r="Z23" s="103"/>
    </row>
    <row r="24" spans="1:26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  <c r="Z24" s="103"/>
    </row>
    <row r="25" spans="1:26" ht="15" customHeight="1" x14ac:dyDescent="0.3">
      <c r="A25" s="50"/>
      <c r="B25" s="42" t="s">
        <v>25</v>
      </c>
      <c r="C25" s="43">
        <v>1560000</v>
      </c>
      <c r="D25" s="43">
        <v>1500000</v>
      </c>
      <c r="E25" s="43">
        <v>13000</v>
      </c>
      <c r="F25" s="43">
        <v>12000</v>
      </c>
      <c r="G25" s="44">
        <f>E25/(E22+E25)</f>
        <v>0.84967320261437906</v>
      </c>
      <c r="H25" s="45">
        <f t="shared" si="0"/>
        <v>12</v>
      </c>
      <c r="I25" s="45">
        <f t="shared" si="0"/>
        <v>12.5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  <c r="Z25" s="103"/>
    </row>
    <row r="26" spans="1:26" ht="15" customHeight="1" x14ac:dyDescent="0.3">
      <c r="A26" s="50"/>
      <c r="B26" s="46" t="s">
        <v>21</v>
      </c>
      <c r="C26" s="43">
        <v>380000</v>
      </c>
      <c r="D26" s="43">
        <v>380000</v>
      </c>
      <c r="E26" s="43">
        <v>3000</v>
      </c>
      <c r="F26" s="43">
        <v>3000</v>
      </c>
      <c r="G26" s="47">
        <f>F26/E26</f>
        <v>1</v>
      </c>
      <c r="H26" s="48">
        <f>C26/E26/10</f>
        <v>12.666666666666668</v>
      </c>
      <c r="I26" s="48">
        <f>D26/F26/10</f>
        <v>12.666666666666668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  <c r="Z26" s="103"/>
    </row>
    <row r="27" spans="1:26" ht="15" customHeight="1" x14ac:dyDescent="0.3">
      <c r="A27" s="51"/>
      <c r="B27" s="42" t="s">
        <v>26</v>
      </c>
      <c r="C27" s="43">
        <v>38000</v>
      </c>
      <c r="D27" s="43">
        <v>36000</v>
      </c>
      <c r="E27" s="43">
        <f>E25-E26</f>
        <v>10000</v>
      </c>
      <c r="F27" s="43">
        <f>F25-F26</f>
        <v>9000</v>
      </c>
      <c r="G27" s="47">
        <f>F27/E27</f>
        <v>0.9</v>
      </c>
      <c r="H27" s="45">
        <f>C27/E27/10</f>
        <v>0.38</v>
      </c>
      <c r="I27" s="45">
        <f>D27/F27/10</f>
        <v>0.4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  <c r="Z27" s="103"/>
    </row>
    <row r="28" spans="1:26" s="30" customFormat="1" x14ac:dyDescent="0.35">
      <c r="A28" s="51"/>
      <c r="B28" s="52" t="s">
        <v>27</v>
      </c>
      <c r="C28" s="53">
        <v>-60000</v>
      </c>
      <c r="D28" s="54"/>
      <c r="E28" s="53">
        <v>-530</v>
      </c>
      <c r="F28" s="54"/>
      <c r="G28" s="55">
        <f>E28/(E22+E25)</f>
        <v>-3.4640522875816995E-2</v>
      </c>
      <c r="H28" s="56">
        <f t="shared" si="0"/>
        <v>11.320754716981131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  <c r="Z28" s="171"/>
    </row>
    <row r="29" spans="1:26" s="30" customFormat="1" ht="18" customHeight="1" x14ac:dyDescent="0.35">
      <c r="A29" s="51"/>
      <c r="B29" s="57" t="s">
        <v>28</v>
      </c>
      <c r="C29" s="54">
        <f>C22+C25+C27+C28</f>
        <v>1713000</v>
      </c>
      <c r="D29" s="54">
        <f>D22+D25+D27</f>
        <v>1636000</v>
      </c>
      <c r="E29" s="54">
        <f>E22+E25+E28</f>
        <v>14770</v>
      </c>
      <c r="F29" s="54">
        <f>F22+F25</f>
        <v>13200</v>
      </c>
      <c r="G29" s="55">
        <f>G22+G25+G28</f>
        <v>0.96535947712418302</v>
      </c>
      <c r="H29" s="56">
        <f t="shared" si="0"/>
        <v>11.597833446174679</v>
      </c>
      <c r="I29" s="56">
        <f t="shared" si="0"/>
        <v>12.393939393939394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  <c r="Z29" s="171"/>
    </row>
    <row r="30" spans="1:26" ht="15" customHeight="1" x14ac:dyDescent="0.3">
      <c r="A30" s="58"/>
      <c r="B30" s="59" t="s">
        <v>29</v>
      </c>
      <c r="C30" s="60">
        <v>55500</v>
      </c>
      <c r="D30" s="60">
        <v>51000</v>
      </c>
      <c r="E30" s="61"/>
      <c r="F30" s="61"/>
      <c r="G30" s="62"/>
      <c r="H30" s="63">
        <f>C30/E29/10</f>
        <v>0.37576167907921459</v>
      </c>
      <c r="I30" s="63">
        <f>D30/F29/10</f>
        <v>0.38636363636363635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  <c r="Z30" s="103"/>
    </row>
    <row r="31" spans="1:26" ht="15" customHeight="1" x14ac:dyDescent="0.3">
      <c r="B31" s="42" t="s">
        <v>30</v>
      </c>
      <c r="C31" s="64"/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  <c r="Z31" s="103"/>
    </row>
    <row r="32" spans="1:26" ht="15" customHeight="1" x14ac:dyDescent="0.3">
      <c r="A32" s="58"/>
      <c r="B32" s="42" t="s">
        <v>31</v>
      </c>
      <c r="C32" s="67"/>
      <c r="D32" s="43">
        <v>54000</v>
      </c>
      <c r="E32" s="67"/>
      <c r="F32" s="67"/>
      <c r="G32" s="68"/>
      <c r="H32" s="45">
        <f>C32/E29/10</f>
        <v>0</v>
      </c>
      <c r="I32" s="45">
        <f>D32/F29/10</f>
        <v>0.40909090909090906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  <c r="Z32" s="103"/>
    </row>
    <row r="33" spans="1:26" s="30" customFormat="1" ht="18" customHeight="1" x14ac:dyDescent="0.3">
      <c r="A33" s="25"/>
      <c r="B33" s="57" t="s">
        <v>32</v>
      </c>
      <c r="C33" s="54">
        <f>C29+C30+C31</f>
        <v>1768500</v>
      </c>
      <c r="D33" s="54">
        <f>D29+D30+D31+D32</f>
        <v>1741000</v>
      </c>
      <c r="E33" s="54">
        <f>E29</f>
        <v>14770</v>
      </c>
      <c r="F33" s="54">
        <f>F29</f>
        <v>13200</v>
      </c>
      <c r="G33" s="55">
        <f>G29</f>
        <v>0.96535947712418302</v>
      </c>
      <c r="H33" s="56">
        <f>C33/E33/10</f>
        <v>11.973595125253892</v>
      </c>
      <c r="I33" s="56">
        <f>D33/F33/10</f>
        <v>13.189393939393941</v>
      </c>
      <c r="J33" s="423" t="str">
        <f>IFERROR(VLOOKUP(N32,#REF!,4,FALSE),"")</f>
        <v/>
      </c>
      <c r="K33" s="424"/>
      <c r="L33" s="234"/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  <c r="Z33" s="171"/>
    </row>
    <row r="34" spans="1:26" ht="18" customHeight="1" thickBot="1" x14ac:dyDescent="0.35">
      <c r="A34" s="1"/>
      <c r="B34" s="69" t="s">
        <v>33</v>
      </c>
      <c r="C34" s="70"/>
      <c r="D34" s="71">
        <f>'DD Energie 2025'!F112</f>
        <v>8293.2385821866665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  <c r="Z34" s="103"/>
    </row>
    <row r="35" spans="1:26" ht="18" customHeight="1" thickBot="1" x14ac:dyDescent="0.35">
      <c r="B35" s="69" t="s">
        <v>34</v>
      </c>
      <c r="C35" s="74"/>
      <c r="D35" s="74">
        <f>D34+D33</f>
        <v>1749293.2385821866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  <c r="Z35" s="103"/>
    </row>
    <row r="36" spans="1:26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2026 (+ Überdeckung)</v>
      </c>
      <c r="C37" s="430"/>
      <c r="D37" s="77">
        <f>D18-D35</f>
        <v>-54293.238582186634</v>
      </c>
      <c r="E37" s="440" t="str">
        <f>IF(D37=0,"",IF(D37&gt;0,"Dieser Betrag muss den Endkunden gutgeschrieben werden.","Dieser Betrag kann den Endkunden verrechnet werden."))</f>
        <v>Dieser Betrag kann den Endkunden verrechnet werden.</v>
      </c>
      <c r="F37" s="441"/>
      <c r="G37" s="441"/>
      <c r="H37" s="441"/>
      <c r="I37" s="441"/>
      <c r="J37" s="441"/>
      <c r="K37" s="442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  <c r="Z37" s="171"/>
    </row>
    <row r="38" spans="1:26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  <c r="Z38" s="103"/>
    </row>
    <row r="39" spans="1:26" x14ac:dyDescent="0.3">
      <c r="A39" s="1"/>
      <c r="B39" s="12"/>
      <c r="C39" s="49"/>
      <c r="D39" s="49"/>
      <c r="E39" s="32"/>
      <c r="F39" s="31"/>
      <c r="H39" s="49"/>
      <c r="I39" s="49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  <c r="Z39" s="103"/>
    </row>
    <row r="40" spans="1:26" ht="15.5" x14ac:dyDescent="0.35">
      <c r="A40" s="1"/>
      <c r="B40" s="3" t="s">
        <v>35</v>
      </c>
      <c r="C40" s="49"/>
      <c r="D40" s="49"/>
      <c r="E40" s="32"/>
      <c r="F40" s="31"/>
      <c r="G40" s="31"/>
      <c r="H40" s="49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  <c r="Z40" s="103"/>
    </row>
    <row r="41" spans="1:26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  <c r="Z41" s="103"/>
    </row>
    <row r="42" spans="1:26" s="30" customFormat="1" ht="18" customHeight="1" thickBot="1" x14ac:dyDescent="0.4">
      <c r="A42" s="25"/>
      <c r="B42" s="159" t="s">
        <v>39</v>
      </c>
      <c r="C42" s="330"/>
      <c r="D42" s="390">
        <v>20000</v>
      </c>
      <c r="E42" s="431" t="s">
        <v>158</v>
      </c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  <c r="Z42" s="171"/>
    </row>
    <row r="43" spans="1:26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  <c r="Z43" s="103"/>
    </row>
    <row r="44" spans="1:26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  <c r="Z44" s="103"/>
    </row>
    <row r="45" spans="1:26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  <c r="Z45" s="103"/>
    </row>
    <row r="46" spans="1:26" s="84" customFormat="1" ht="15" customHeight="1" x14ac:dyDescent="0.35">
      <c r="A46" s="83"/>
      <c r="B46" s="434" t="s">
        <v>81</v>
      </c>
      <c r="C46" s="435"/>
      <c r="D46" s="315">
        <v>34293</v>
      </c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  <c r="Z46" s="171"/>
    </row>
    <row r="47" spans="1:26" s="84" customFormat="1" ht="15" customHeight="1" x14ac:dyDescent="0.35">
      <c r="A47" s="83"/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  <c r="Z47" s="171"/>
    </row>
    <row r="48" spans="1:26" s="84" customFormat="1" ht="15" customHeight="1" thickBot="1" x14ac:dyDescent="0.4">
      <c r="A48" s="83"/>
      <c r="B48" s="418" t="s">
        <v>42</v>
      </c>
      <c r="C48" s="419"/>
      <c r="D48" s="287">
        <f>SUM(D46:D47)</f>
        <v>34293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  <c r="Z48" s="171"/>
    </row>
    <row r="49" spans="1:26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  <c r="Z49" s="103"/>
    </row>
    <row r="50" spans="1:26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  <c r="Z50" s="103"/>
    </row>
    <row r="51" spans="1:26" s="84" customFormat="1" ht="15" customHeight="1" thickBot="1" x14ac:dyDescent="0.4">
      <c r="A51" s="83"/>
      <c r="B51" s="449" t="s">
        <v>44</v>
      </c>
      <c r="C51" s="450"/>
      <c r="D51" s="89">
        <f>D37+D42+D48</f>
        <v>-0.23858218663372099</v>
      </c>
      <c r="E51" s="451" t="str">
        <f>IF(D51=0,"",IF(D51&gt;0,"Dieser Betrag muss den Endkunden gutgeschrieben werden.","Dieser Betrag kann den Endkunden verrechnet werden."))</f>
        <v>Dieser Betrag kann den Endkunden verrechnet werden.</v>
      </c>
      <c r="F51" s="452"/>
      <c r="G51" s="452"/>
      <c r="H51" s="452"/>
      <c r="I51" s="452"/>
      <c r="J51" s="452"/>
      <c r="K51" s="45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  <c r="Z51" s="171"/>
    </row>
    <row r="52" spans="1:26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</row>
    <row r="53" spans="1:26" s="84" customFormat="1" ht="12" customHeight="1" x14ac:dyDescent="0.35">
      <c r="B53" s="92"/>
      <c r="C53" s="93"/>
      <c r="D53" s="93"/>
      <c r="E53" s="463"/>
      <c r="F53" s="464"/>
      <c r="G53" s="464"/>
      <c r="H53" s="464"/>
      <c r="I53" s="464"/>
      <c r="J53" s="464"/>
      <c r="K53" s="464"/>
      <c r="L53" s="239"/>
      <c r="M53" s="239"/>
      <c r="N53" s="240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</row>
    <row r="54" spans="1:26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</row>
    <row r="55" spans="1:26" s="11" customFormat="1" ht="15" customHeight="1" thickBot="1" x14ac:dyDescent="0.3">
      <c r="A55" s="10"/>
      <c r="B55" s="429" t="s">
        <v>159</v>
      </c>
      <c r="C55" s="457"/>
      <c r="D55" s="163">
        <v>2.25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  <c r="Z55" s="241"/>
    </row>
    <row r="56" spans="1:26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</row>
    <row r="57" spans="1:26" s="84" customFormat="1" ht="15" customHeight="1" x14ac:dyDescent="0.35">
      <c r="B57" s="90"/>
      <c r="C57" s="98"/>
      <c r="D57" s="91"/>
      <c r="E57" s="463"/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</row>
    <row r="58" spans="1:26" s="84" customFormat="1" ht="1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</row>
    <row r="59" spans="1:26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 spans="1:26" x14ac:dyDescent="0.3"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 spans="1:26" ht="15.65" customHeight="1" x14ac:dyDescent="0.3"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 spans="1:26" s="326" customFormat="1" ht="28.5" customHeight="1" x14ac:dyDescent="0.35">
      <c r="A62" s="99" t="s">
        <v>147</v>
      </c>
      <c r="B62" s="324"/>
      <c r="C62" s="324"/>
      <c r="D62" s="324"/>
      <c r="E62" s="324"/>
      <c r="F62" s="324"/>
      <c r="G62" s="324"/>
      <c r="H62" s="324"/>
      <c r="I62" s="325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</row>
    <row r="63" spans="1:26" s="102" customFormat="1" ht="13" customHeight="1" x14ac:dyDescent="0.35">
      <c r="A63" s="170"/>
      <c r="I63" s="173"/>
    </row>
    <row r="64" spans="1:26" ht="28.5" x14ac:dyDescent="0.35">
      <c r="A64" s="162"/>
      <c r="B64" s="283" t="s">
        <v>144</v>
      </c>
      <c r="F64" s="14">
        <v>4</v>
      </c>
      <c r="G64" s="103"/>
      <c r="H64" s="103"/>
      <c r="I64" s="164" t="s">
        <v>82</v>
      </c>
      <c r="J64" s="103"/>
      <c r="L64" s="103"/>
      <c r="M64" s="164" t="s">
        <v>99</v>
      </c>
      <c r="N64" s="194"/>
      <c r="P64" s="103"/>
      <c r="Q64" s="164" t="s">
        <v>84</v>
      </c>
      <c r="R64" s="224"/>
      <c r="U64" s="164" t="s">
        <v>86</v>
      </c>
    </row>
    <row r="65" spans="1:24" x14ac:dyDescent="0.3">
      <c r="B65" s="104"/>
      <c r="F65" s="265" t="s">
        <v>129</v>
      </c>
      <c r="H65" s="104"/>
      <c r="I65" s="103"/>
      <c r="J65" s="265" t="s">
        <v>128</v>
      </c>
      <c r="K65" s="103"/>
      <c r="L65" s="103"/>
      <c r="M65" s="103"/>
      <c r="N65" s="265" t="s">
        <v>127</v>
      </c>
      <c r="O65" s="103"/>
      <c r="P65" s="103"/>
      <c r="Q65" s="103"/>
      <c r="R65" s="265" t="s">
        <v>130</v>
      </c>
      <c r="S65" s="9"/>
      <c r="T65" s="9"/>
      <c r="U65" s="9"/>
    </row>
    <row r="66" spans="1:24" ht="14.5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K66" s="103"/>
      <c r="L66" s="103"/>
      <c r="M66" s="103"/>
      <c r="N66" s="254" t="s">
        <v>116</v>
      </c>
      <c r="O66" s="103"/>
      <c r="P66" s="103"/>
      <c r="Q66" s="103"/>
      <c r="R66" s="254" t="s">
        <v>116</v>
      </c>
      <c r="S66" s="9"/>
      <c r="T66" s="9"/>
      <c r="U66" s="9"/>
    </row>
    <row r="67" spans="1:24" ht="16" thickBot="1" x14ac:dyDescent="0.4">
      <c r="B67" s="3" t="s">
        <v>149</v>
      </c>
      <c r="C67" s="81">
        <v>1</v>
      </c>
      <c r="D67" s="14">
        <v>2</v>
      </c>
      <c r="E67" s="14">
        <v>3</v>
      </c>
      <c r="F67" s="193">
        <f>'DD Energie 2024'!F67</f>
        <v>3.98</v>
      </c>
      <c r="G67" s="106">
        <v>5</v>
      </c>
      <c r="H67" s="106">
        <v>6</v>
      </c>
      <c r="I67" s="106">
        <v>7</v>
      </c>
      <c r="J67" s="193">
        <f>'DD Energie 2024'!J67</f>
        <v>3.98</v>
      </c>
      <c r="K67" s="103"/>
      <c r="L67" s="14">
        <v>8</v>
      </c>
      <c r="M67" s="103"/>
      <c r="N67" s="193">
        <f>'DD Energie 2025'!N67</f>
        <v>4.13</v>
      </c>
      <c r="O67" s="103"/>
      <c r="P67" s="103"/>
      <c r="Q67" s="103"/>
      <c r="R67" s="163">
        <v>3.5</v>
      </c>
      <c r="S67" s="9"/>
      <c r="T67" s="9"/>
      <c r="U67" s="9"/>
      <c r="V67" s="14"/>
      <c r="W67" s="104"/>
    </row>
    <row r="68" spans="1:24" ht="25.5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x14ac:dyDescent="0.3">
      <c r="A69" s="114"/>
      <c r="B69" s="461"/>
      <c r="C69" s="115" t="s">
        <v>80</v>
      </c>
      <c r="D69" s="198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7" customHeight="1" thickBot="1" x14ac:dyDescent="0.35">
      <c r="B71" s="126" t="s">
        <v>119</v>
      </c>
      <c r="C71" s="195">
        <f>'DD Energie 2024'!C71</f>
        <v>6000</v>
      </c>
      <c r="D71" s="195">
        <f>'DD Energie 2024'!D71</f>
        <v>-1000</v>
      </c>
      <c r="E71" s="195">
        <f>'DD Energie 2024'!E71</f>
        <v>5000</v>
      </c>
      <c r="F71" s="195">
        <f>'DD Energie 2024'!F71</f>
        <v>199</v>
      </c>
      <c r="G71" s="195">
        <f>'DD Energie 2024'!G71</f>
        <v>5199</v>
      </c>
      <c r="H71" s="195">
        <f>'DD Energie 2024'!H71</f>
        <v>-2000</v>
      </c>
      <c r="I71" s="210">
        <f>'DD Energie 2024'!I71</f>
        <v>3199</v>
      </c>
      <c r="J71" s="169">
        <f>'DD Energie 2024'!J71</f>
        <v>127.3202</v>
      </c>
      <c r="K71" s="147">
        <f>'DD Energie 2024'!K71</f>
        <v>3326.3202000000001</v>
      </c>
      <c r="L71" s="147">
        <f>'DD Energie 2024'!L71</f>
        <v>-1159</v>
      </c>
      <c r="M71" s="205">
        <f>'DD Energie 2024'!M71</f>
        <v>2167.3202000000001</v>
      </c>
      <c r="N71" s="169">
        <f>'DD Energie 2025'!N71</f>
        <v>89.51032425999999</v>
      </c>
      <c r="O71" s="191">
        <f>'DD Energie 2025'!O71</f>
        <v>2256.8305242599999</v>
      </c>
      <c r="P71" s="191">
        <f>'DD Energie 2025'!P71</f>
        <v>-1126.7897719800001</v>
      </c>
      <c r="Q71" s="210">
        <f>'DD Energie 2025'!Q71</f>
        <v>1130.0407522799999</v>
      </c>
      <c r="R71" s="169">
        <f>Q71*(R67/100)</f>
        <v>39.551426329800002</v>
      </c>
      <c r="S71" s="147">
        <f>R71+Q71</f>
        <v>1169.5921786097999</v>
      </c>
      <c r="T71" s="196">
        <f>'DD Energie 2025'!T71</f>
        <v>-1176.7114353491638</v>
      </c>
      <c r="U71" s="281">
        <f>S71+T71+T72+U72</f>
        <v>-7.119256739363891</v>
      </c>
      <c r="V71" s="214"/>
    </row>
    <row r="72" spans="1:24" x14ac:dyDescent="0.3">
      <c r="B72" s="188" t="s">
        <v>91</v>
      </c>
      <c r="D72" s="151"/>
      <c r="E72" s="31"/>
      <c r="F72" s="31"/>
      <c r="J72" s="31"/>
      <c r="K72" s="172"/>
      <c r="L72" s="172"/>
      <c r="P72" s="192">
        <f>'DD Energie 2025'!P72</f>
        <v>0</v>
      </c>
      <c r="Q72" s="167"/>
      <c r="R72" s="167"/>
      <c r="S72" s="167"/>
      <c r="T72" s="192">
        <f>'DD Energie 2025'!T72</f>
        <v>0</v>
      </c>
      <c r="U72" s="252">
        <v>0</v>
      </c>
      <c r="V72" s="333">
        <f>S71+T71+T72</f>
        <v>-7.119256739363891</v>
      </c>
    </row>
    <row r="73" spans="1:24" ht="24.75" customHeight="1" x14ac:dyDescent="0.3"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186" t="s">
        <v>93</v>
      </c>
    </row>
    <row r="74" spans="1:24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133"/>
    </row>
    <row r="75" spans="1:24" s="102" customFormat="1" ht="28.5" customHeight="1" x14ac:dyDescent="0.35">
      <c r="A75" s="99" t="s">
        <v>148</v>
      </c>
      <c r="B75" s="100"/>
      <c r="C75" s="100"/>
      <c r="D75" s="100"/>
      <c r="E75" s="100"/>
      <c r="F75" s="100"/>
      <c r="G75" s="100"/>
      <c r="H75" s="101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4" s="102" customFormat="1" ht="14.9" customHeight="1" x14ac:dyDescent="0.35">
      <c r="A76" s="177"/>
      <c r="G76" s="173"/>
    </row>
    <row r="77" spans="1:24" s="102" customFormat="1" ht="28.5" customHeight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100</v>
      </c>
      <c r="Q77" s="164" t="s">
        <v>87</v>
      </c>
    </row>
    <row r="78" spans="1:24" s="84" customFormat="1" ht="15" customHeight="1" x14ac:dyDescent="0.35">
      <c r="B78" s="90"/>
      <c r="C78" s="90"/>
      <c r="D78" s="465"/>
      <c r="E78" s="135"/>
      <c r="F78" s="465"/>
      <c r="G78" s="95"/>
      <c r="H78" s="183"/>
      <c r="I78" s="95"/>
      <c r="J78" s="465"/>
      <c r="K78" s="95"/>
      <c r="N78" s="443" t="s">
        <v>136</v>
      </c>
    </row>
    <row r="79" spans="1:24" x14ac:dyDescent="0.3">
      <c r="B79" s="31"/>
      <c r="C79" s="180"/>
      <c r="D79" s="31"/>
      <c r="E79" s="31"/>
      <c r="F79" s="465"/>
      <c r="G79" s="31"/>
      <c r="H79" s="151"/>
      <c r="I79" s="31"/>
      <c r="J79" s="465"/>
      <c r="N79" s="443"/>
    </row>
    <row r="80" spans="1:24" ht="14.5" thickBot="1" x14ac:dyDescent="0.35">
      <c r="B80" s="31"/>
      <c r="C80" s="180"/>
      <c r="D80" s="254" t="s">
        <v>116</v>
      </c>
      <c r="E80" s="31"/>
      <c r="F80" s="254" t="s">
        <v>116</v>
      </c>
      <c r="G80" s="31"/>
      <c r="J80" s="328" t="s">
        <v>116</v>
      </c>
      <c r="N80" s="328" t="s">
        <v>116</v>
      </c>
    </row>
    <row r="81" spans="1:19" ht="16" thickBot="1" x14ac:dyDescent="0.4">
      <c r="A81" s="136"/>
      <c r="B81" s="3" t="s">
        <v>66</v>
      </c>
      <c r="C81" s="14"/>
      <c r="D81" s="193">
        <f>'DD Energie 2024'!$D$81</f>
        <v>2.25</v>
      </c>
      <c r="E81" s="14"/>
      <c r="F81" s="193">
        <f>'DD Energie 2025'!F81</f>
        <v>2.25</v>
      </c>
      <c r="G81" s="31"/>
      <c r="H81" s="184"/>
      <c r="I81" s="14"/>
      <c r="J81" s="96">
        <f>D55</f>
        <v>2.25</v>
      </c>
      <c r="K81" s="137"/>
      <c r="L81" s="137"/>
      <c r="M81" s="137"/>
      <c r="N81" s="96">
        <f>J81</f>
        <v>2.25</v>
      </c>
      <c r="O81" s="14"/>
      <c r="P81" s="14"/>
      <c r="Q81" s="14"/>
      <c r="R81" s="14"/>
    </row>
    <row r="82" spans="1:19" s="103" customFormat="1" ht="28.4" customHeight="1" x14ac:dyDescent="0.3">
      <c r="A82" s="136"/>
      <c r="B82" s="460"/>
      <c r="C82" s="138" t="s">
        <v>46</v>
      </c>
      <c r="D82" s="111" t="s">
        <v>48</v>
      </c>
      <c r="E82" s="245" t="s">
        <v>106</v>
      </c>
      <c r="F82" s="110" t="s">
        <v>48</v>
      </c>
      <c r="G82" s="111" t="s">
        <v>106</v>
      </c>
      <c r="H82" s="112" t="s">
        <v>51</v>
      </c>
      <c r="I82" s="207" t="s">
        <v>61</v>
      </c>
      <c r="J82" s="110" t="s">
        <v>48</v>
      </c>
      <c r="K82" s="111" t="s">
        <v>106</v>
      </c>
      <c r="L82" s="112" t="s">
        <v>51</v>
      </c>
      <c r="M82" s="207" t="s">
        <v>52</v>
      </c>
      <c r="N82" s="110" t="s">
        <v>48</v>
      </c>
      <c r="O82" s="111" t="s">
        <v>106</v>
      </c>
      <c r="P82" s="150" t="s">
        <v>51</v>
      </c>
      <c r="Q82" s="156" t="s">
        <v>154</v>
      </c>
      <c r="R82" s="113"/>
    </row>
    <row r="83" spans="1:19" s="103" customFormat="1" ht="14.25" customHeight="1" x14ac:dyDescent="0.3">
      <c r="A83" s="136"/>
      <c r="B83" s="461"/>
      <c r="C83" s="139" t="s">
        <v>107</v>
      </c>
      <c r="D83" s="124" t="s">
        <v>55</v>
      </c>
      <c r="E83" s="211" t="s">
        <v>58</v>
      </c>
      <c r="F83" s="123" t="s">
        <v>55</v>
      </c>
      <c r="G83" s="124" t="s">
        <v>59</v>
      </c>
      <c r="H83" s="121" t="str">
        <f>"Tarife "&amp; C8</f>
        <v>Tarife 2026</v>
      </c>
      <c r="I83" s="213" t="s">
        <v>57</v>
      </c>
      <c r="J83" s="123" t="s">
        <v>55</v>
      </c>
      <c r="K83" s="124" t="s">
        <v>60</v>
      </c>
      <c r="L83" s="121" t="str">
        <f>"Tarife "&amp; C8+1</f>
        <v>Tarife 2027</v>
      </c>
      <c r="M83" s="213" t="s">
        <v>57</v>
      </c>
      <c r="N83" s="123" t="s">
        <v>55</v>
      </c>
      <c r="O83" s="124" t="s">
        <v>62</v>
      </c>
      <c r="P83" s="152" t="str">
        <f>"Tarife "&amp; C8+2</f>
        <v>Tarife 2028</v>
      </c>
      <c r="Q83" s="157" t="s">
        <v>53</v>
      </c>
      <c r="R83" s="122"/>
    </row>
    <row r="84" spans="1:19" s="103" customFormat="1" ht="14.25" customHeight="1" x14ac:dyDescent="0.3">
      <c r="A84" s="136"/>
      <c r="B84" s="461"/>
      <c r="C84" s="139"/>
      <c r="D84" s="124"/>
      <c r="E84" s="211"/>
      <c r="F84" s="123"/>
      <c r="G84" s="124"/>
      <c r="H84" s="121" t="s">
        <v>63</v>
      </c>
      <c r="I84" s="213"/>
      <c r="J84" s="123"/>
      <c r="K84" s="124"/>
      <c r="L84" s="121" t="s">
        <v>64</v>
      </c>
      <c r="M84" s="213"/>
      <c r="N84" s="123"/>
      <c r="O84" s="124"/>
      <c r="P84" s="152" t="s">
        <v>65</v>
      </c>
      <c r="Q84" s="158"/>
      <c r="R84" s="122"/>
    </row>
    <row r="85" spans="1:19" s="103" customFormat="1" ht="14.25" customHeight="1" thickBot="1" x14ac:dyDescent="0.35">
      <c r="A85" s="136"/>
      <c r="B85" s="461"/>
      <c r="C85" s="139" t="s">
        <v>38</v>
      </c>
      <c r="D85" s="124" t="s">
        <v>38</v>
      </c>
      <c r="E85" s="211" t="s">
        <v>38</v>
      </c>
      <c r="F85" s="123" t="s">
        <v>38</v>
      </c>
      <c r="G85" s="124" t="s">
        <v>38</v>
      </c>
      <c r="H85" s="121" t="s">
        <v>38</v>
      </c>
      <c r="I85" s="213" t="s">
        <v>38</v>
      </c>
      <c r="J85" s="123" t="s">
        <v>38</v>
      </c>
      <c r="K85" s="124" t="s">
        <v>38</v>
      </c>
      <c r="L85" s="121" t="s">
        <v>38</v>
      </c>
      <c r="M85" s="213" t="s">
        <v>38</v>
      </c>
      <c r="N85" s="123" t="s">
        <v>38</v>
      </c>
      <c r="O85" s="124" t="s">
        <v>38</v>
      </c>
      <c r="P85" s="152" t="s">
        <v>38</v>
      </c>
      <c r="Q85" s="158" t="s">
        <v>38</v>
      </c>
      <c r="R85" s="125" t="s">
        <v>14</v>
      </c>
    </row>
    <row r="86" spans="1:19" s="171" customFormat="1" ht="28" customHeight="1" thickBot="1" x14ac:dyDescent="0.35">
      <c r="A86" s="103"/>
      <c r="B86" s="182" t="str">
        <f>"Übersicht DD 2024 bis Abbau Null "</f>
        <v xml:space="preserve">Übersicht DD 2024 bis Abbau Null </v>
      </c>
      <c r="C86" s="189">
        <f>'DD Energie 2024'!C86</f>
        <v>-36000</v>
      </c>
      <c r="D86" s="189">
        <f>'DD Energie 2024'!D86</f>
        <v>-810</v>
      </c>
      <c r="E86" s="212">
        <f>'DD Energie 2024'!E86</f>
        <v>-36810</v>
      </c>
      <c r="F86" s="169">
        <f>'DD Energie 2025'!F86</f>
        <v>-828.22500000000002</v>
      </c>
      <c r="G86" s="147">
        <f>'DD Energie 2025'!G86</f>
        <v>-37638.224999999999</v>
      </c>
      <c r="H86" s="191">
        <f>'DD Energie 2025'!H86</f>
        <v>9420.0283541666668</v>
      </c>
      <c r="I86" s="210">
        <f>'DD Energie 2025'!I86</f>
        <v>-18218.196645833334</v>
      </c>
      <c r="J86" s="169">
        <f>I86*(J81/100)</f>
        <v>-409.90942453125001</v>
      </c>
      <c r="K86" s="147">
        <f>J86+I86</f>
        <v>-18628.106070364585</v>
      </c>
      <c r="L86" s="191">
        <f>'DD Energie 2025'!L86</f>
        <v>9314.0530351822927</v>
      </c>
      <c r="M86" s="205">
        <f>K86+L86+L87</f>
        <v>-9314.0530351822927</v>
      </c>
      <c r="N86" s="169">
        <f>M86*(N81/100)</f>
        <v>-209.56619329160156</v>
      </c>
      <c r="O86" s="147">
        <f>N86+M86</f>
        <v>-9523.6192284738936</v>
      </c>
      <c r="P86" s="155">
        <f>-O86-P87</f>
        <v>9523.6192284738936</v>
      </c>
      <c r="Q86" s="168">
        <f>O86+P86+P87</f>
        <v>0</v>
      </c>
      <c r="R86" s="214"/>
    </row>
    <row r="87" spans="1:19" x14ac:dyDescent="0.3">
      <c r="B87" s="188" t="s">
        <v>91</v>
      </c>
      <c r="C87" s="151"/>
      <c r="D87" s="31"/>
      <c r="F87" s="31"/>
      <c r="G87" s="31"/>
      <c r="H87" s="306">
        <f>'DD Energie 2025'!H87</f>
        <v>10000</v>
      </c>
      <c r="I87" s="151"/>
      <c r="L87" s="192">
        <f>'DD Energie 2025'!L87</f>
        <v>0</v>
      </c>
      <c r="P87" s="252">
        <v>0</v>
      </c>
      <c r="Q87" s="104"/>
    </row>
    <row r="88" spans="1:19" ht="24.75" customHeight="1" x14ac:dyDescent="0.3">
      <c r="H88" s="186" t="s">
        <v>93</v>
      </c>
      <c r="I88" s="185"/>
      <c r="L88" s="186" t="s">
        <v>93</v>
      </c>
      <c r="P88" s="186" t="s">
        <v>93</v>
      </c>
    </row>
    <row r="89" spans="1:19" x14ac:dyDescent="0.3">
      <c r="F89" s="190"/>
      <c r="G89" s="185"/>
      <c r="J89" s="190"/>
      <c r="N89" s="190"/>
    </row>
    <row r="90" spans="1:19" x14ac:dyDescent="0.3">
      <c r="F90" s="190"/>
      <c r="G90" s="185"/>
      <c r="J90" s="190"/>
      <c r="N90" s="190"/>
    </row>
    <row r="91" spans="1:19" ht="15" customHeight="1" x14ac:dyDescent="0.3">
      <c r="F91" s="131"/>
      <c r="J91" s="131"/>
      <c r="N91" s="131"/>
    </row>
    <row r="92" spans="1:19" s="19" customFormat="1" ht="33" customHeight="1" x14ac:dyDescent="0.3">
      <c r="A92" s="178"/>
      <c r="B92" s="283" t="s">
        <v>144</v>
      </c>
      <c r="C92" s="141"/>
      <c r="E92" s="164" t="s">
        <v>103</v>
      </c>
      <c r="F92" s="104"/>
      <c r="I92" s="164" t="s">
        <v>100</v>
      </c>
      <c r="M92" s="164" t="s">
        <v>101</v>
      </c>
      <c r="Q92" s="164" t="s">
        <v>102</v>
      </c>
    </row>
    <row r="93" spans="1:19" s="19" customFormat="1" ht="30.75" customHeight="1" x14ac:dyDescent="0.3">
      <c r="A93" s="2"/>
      <c r="C93" s="141"/>
      <c r="F93" s="194"/>
      <c r="J93" s="251" t="s">
        <v>136</v>
      </c>
      <c r="N93" s="251" t="s">
        <v>137</v>
      </c>
    </row>
    <row r="94" spans="1:19" ht="14.5" thickBot="1" x14ac:dyDescent="0.35">
      <c r="B94" s="31"/>
      <c r="C94" s="180"/>
      <c r="D94" s="254" t="s">
        <v>116</v>
      </c>
      <c r="E94" s="31"/>
      <c r="F94" s="254" t="s">
        <v>116</v>
      </c>
      <c r="G94" s="31"/>
      <c r="J94" s="328" t="s">
        <v>116</v>
      </c>
      <c r="N94" s="328" t="s">
        <v>116</v>
      </c>
    </row>
    <row r="95" spans="1:19" s="19" customFormat="1" ht="16" thickBot="1" x14ac:dyDescent="0.4">
      <c r="A95" s="18"/>
      <c r="B95" s="3" t="s">
        <v>68</v>
      </c>
      <c r="C95" s="14"/>
      <c r="D95" s="193">
        <f>'DD Energie 2025'!D95</f>
        <v>2.25</v>
      </c>
      <c r="E95" s="14"/>
      <c r="F95" s="163">
        <f>D55</f>
        <v>2.25</v>
      </c>
      <c r="G95" s="31"/>
      <c r="H95" s="184"/>
      <c r="I95" s="14"/>
      <c r="J95" s="96">
        <f>F95</f>
        <v>2.25</v>
      </c>
      <c r="K95" s="137"/>
      <c r="L95" s="137"/>
      <c r="M95" s="137"/>
      <c r="N95" s="96">
        <f>J95</f>
        <v>2.25</v>
      </c>
      <c r="O95" s="18"/>
      <c r="P95" s="18"/>
      <c r="Q95" s="18"/>
      <c r="R95" s="14"/>
      <c r="S95" s="18"/>
    </row>
    <row r="96" spans="1:19" ht="25.5" x14ac:dyDescent="0.3">
      <c r="B96" s="460"/>
      <c r="C96" s="138" t="s">
        <v>46</v>
      </c>
      <c r="D96" s="111" t="s">
        <v>48</v>
      </c>
      <c r="E96" s="245" t="s">
        <v>106</v>
      </c>
      <c r="F96" s="110" t="s">
        <v>48</v>
      </c>
      <c r="G96" s="111" t="s">
        <v>106</v>
      </c>
      <c r="H96" s="112" t="s">
        <v>51</v>
      </c>
      <c r="I96" s="207" t="s">
        <v>52</v>
      </c>
      <c r="J96" s="110" t="s">
        <v>48</v>
      </c>
      <c r="K96" s="111" t="s">
        <v>106</v>
      </c>
      <c r="L96" s="112" t="s">
        <v>51</v>
      </c>
      <c r="M96" s="207" t="s">
        <v>52</v>
      </c>
      <c r="N96" s="110" t="s">
        <v>48</v>
      </c>
      <c r="O96" s="111" t="s">
        <v>106</v>
      </c>
      <c r="P96" s="150" t="s">
        <v>51</v>
      </c>
      <c r="Q96" s="156" t="s">
        <v>154</v>
      </c>
      <c r="R96" s="113"/>
    </row>
    <row r="97" spans="1:18" x14ac:dyDescent="0.3">
      <c r="B97" s="461"/>
      <c r="C97" s="139" t="s">
        <v>108</v>
      </c>
      <c r="D97" s="124" t="s">
        <v>55</v>
      </c>
      <c r="E97" s="211" t="s">
        <v>59</v>
      </c>
      <c r="F97" s="123" t="s">
        <v>55</v>
      </c>
      <c r="G97" s="124" t="s">
        <v>60</v>
      </c>
      <c r="H97" s="121" t="str">
        <f>"Tarife "&amp; C8+1</f>
        <v>Tarife 2027</v>
      </c>
      <c r="I97" s="213" t="s">
        <v>57</v>
      </c>
      <c r="J97" s="123" t="s">
        <v>55</v>
      </c>
      <c r="K97" s="124" t="s">
        <v>62</v>
      </c>
      <c r="L97" s="121" t="str">
        <f>"Tarife "&amp; C8+2</f>
        <v>Tarife 2028</v>
      </c>
      <c r="M97" s="213" t="s">
        <v>57</v>
      </c>
      <c r="N97" s="123" t="s">
        <v>55</v>
      </c>
      <c r="O97" s="124" t="s">
        <v>67</v>
      </c>
      <c r="P97" s="152" t="str">
        <f>"Tarife "&amp; C8+3</f>
        <v>Tarife 2029</v>
      </c>
      <c r="Q97" s="157" t="s">
        <v>53</v>
      </c>
      <c r="R97" s="122"/>
    </row>
    <row r="98" spans="1:18" x14ac:dyDescent="0.3">
      <c r="B98" s="461"/>
      <c r="C98" s="139"/>
      <c r="D98" s="124"/>
      <c r="E98" s="211"/>
      <c r="F98" s="123"/>
      <c r="G98" s="124"/>
      <c r="H98" s="121" t="s">
        <v>63</v>
      </c>
      <c r="I98" s="213"/>
      <c r="J98" s="123"/>
      <c r="K98" s="124"/>
      <c r="L98" s="121" t="s">
        <v>64</v>
      </c>
      <c r="M98" s="213"/>
      <c r="N98" s="123"/>
      <c r="O98" s="124"/>
      <c r="P98" s="152" t="s">
        <v>65</v>
      </c>
      <c r="Q98" s="158"/>
      <c r="R98" s="122"/>
    </row>
    <row r="99" spans="1:18" ht="14.5" thickBot="1" x14ac:dyDescent="0.35">
      <c r="B99" s="461"/>
      <c r="C99" s="139" t="s">
        <v>38</v>
      </c>
      <c r="D99" s="124" t="s">
        <v>38</v>
      </c>
      <c r="E99" s="211" t="s">
        <v>38</v>
      </c>
      <c r="F99" s="123" t="s">
        <v>38</v>
      </c>
      <c r="G99" s="124" t="s">
        <v>38</v>
      </c>
      <c r="H99" s="121" t="s">
        <v>38</v>
      </c>
      <c r="I99" s="213" t="s">
        <v>38</v>
      </c>
      <c r="J99" s="123" t="s">
        <v>38</v>
      </c>
      <c r="K99" s="124" t="s">
        <v>38</v>
      </c>
      <c r="L99" s="121" t="s">
        <v>38</v>
      </c>
      <c r="M99" s="213" t="s">
        <v>38</v>
      </c>
      <c r="N99" s="123" t="s">
        <v>38</v>
      </c>
      <c r="O99" s="124" t="s">
        <v>38</v>
      </c>
      <c r="P99" s="152" t="s">
        <v>38</v>
      </c>
      <c r="Q99" s="158" t="s">
        <v>38</v>
      </c>
      <c r="R99" s="125" t="s">
        <v>14</v>
      </c>
    </row>
    <row r="100" spans="1:18" s="171" customFormat="1" ht="27" customHeight="1" thickBot="1" x14ac:dyDescent="0.35">
      <c r="A100" s="103"/>
      <c r="B100" s="182" t="str">
        <f>"Übersicht DD 2025 bis Abbau Null "</f>
        <v xml:space="preserve">Übersicht DD 2025 bis Abbau Null </v>
      </c>
      <c r="C100" s="189">
        <f>'DD Energie 2025'!C100</f>
        <v>100001</v>
      </c>
      <c r="D100" s="189">
        <f>'DD Energie 2025'!D100</f>
        <v>2250.0225</v>
      </c>
      <c r="E100" s="212">
        <f>'DD Energie 2025'!E100</f>
        <v>102251.02250000001</v>
      </c>
      <c r="F100" s="169">
        <f>E100*(F95/100)</f>
        <v>2300.64800625</v>
      </c>
      <c r="G100" s="147">
        <f>E100+F100</f>
        <v>104551.67050625001</v>
      </c>
      <c r="H100" s="191">
        <f>'DD Energie 2025'!H100</f>
        <v>-35634.694364213545</v>
      </c>
      <c r="I100" s="210">
        <f>G100+H100+H101</f>
        <v>68916.976142036467</v>
      </c>
      <c r="J100" s="169">
        <f>I100*(J95/100)</f>
        <v>1550.6319631958204</v>
      </c>
      <c r="K100" s="147">
        <f>J100+I100</f>
        <v>70467.608105232284</v>
      </c>
      <c r="L100" s="149">
        <f>IF(L101&lt;ABS(K100),(-K100-L101)/2,0)</f>
        <v>-35233.804052616142</v>
      </c>
      <c r="M100" s="205">
        <f>K100+L100+L101</f>
        <v>35233.804052616142</v>
      </c>
      <c r="N100" s="169">
        <f>M100*(N95/100)</f>
        <v>792.7605911838632</v>
      </c>
      <c r="O100" s="147">
        <f>N100+M100</f>
        <v>36026.564643800004</v>
      </c>
      <c r="P100" s="155">
        <f>-O100-P101</f>
        <v>-36026.564643800004</v>
      </c>
      <c r="Q100" s="168">
        <f>O100+P100+P101</f>
        <v>0</v>
      </c>
      <c r="R100" s="214"/>
    </row>
    <row r="101" spans="1:18" x14ac:dyDescent="0.3">
      <c r="B101" s="188" t="s">
        <v>91</v>
      </c>
      <c r="C101" s="31"/>
      <c r="D101" s="31"/>
      <c r="F101" s="31"/>
      <c r="G101" s="31"/>
      <c r="H101" s="192">
        <f>'DD Energie 2025'!H101</f>
        <v>0</v>
      </c>
      <c r="L101" s="252">
        <v>0</v>
      </c>
      <c r="M101" s="103"/>
      <c r="N101" s="103"/>
      <c r="O101" s="103"/>
      <c r="P101" s="252">
        <v>0</v>
      </c>
      <c r="Q101" s="104"/>
    </row>
    <row r="102" spans="1:18" ht="24.75" customHeight="1" x14ac:dyDescent="0.3">
      <c r="F102" s="31"/>
      <c r="G102" s="31"/>
      <c r="H102" s="186" t="s">
        <v>93</v>
      </c>
      <c r="L102" s="186" t="s">
        <v>93</v>
      </c>
      <c r="P102" s="186" t="s">
        <v>93</v>
      </c>
    </row>
    <row r="103" spans="1:18" x14ac:dyDescent="0.3">
      <c r="F103" s="31"/>
      <c r="G103" s="31"/>
      <c r="H103" s="190"/>
      <c r="L103" s="190"/>
      <c r="P103" s="190"/>
    </row>
    <row r="104" spans="1:18" x14ac:dyDescent="0.3">
      <c r="F104" s="31"/>
      <c r="G104" s="31"/>
      <c r="H104" s="190"/>
      <c r="L104" s="190"/>
      <c r="P104" s="190"/>
    </row>
    <row r="105" spans="1:18" ht="14.5" x14ac:dyDescent="0.35">
      <c r="F105" s="31"/>
      <c r="G105" s="31"/>
      <c r="H105" s="142"/>
    </row>
    <row r="106" spans="1:18" ht="28" x14ac:dyDescent="0.3">
      <c r="B106" s="283" t="s">
        <v>144</v>
      </c>
      <c r="E106" s="164" t="s">
        <v>100</v>
      </c>
      <c r="I106" s="164" t="s">
        <v>87</v>
      </c>
      <c r="K106" s="102"/>
      <c r="M106" s="164" t="s">
        <v>102</v>
      </c>
      <c r="Q106" s="164" t="s">
        <v>104</v>
      </c>
    </row>
    <row r="107" spans="1:18" ht="30.75" customHeight="1" x14ac:dyDescent="0.3">
      <c r="F107" s="251" t="s">
        <v>136</v>
      </c>
      <c r="J107" s="251" t="s">
        <v>137</v>
      </c>
      <c r="N107" s="251" t="s">
        <v>140</v>
      </c>
    </row>
    <row r="108" spans="1:18" ht="14.5" thickBot="1" x14ac:dyDescent="0.35">
      <c r="B108" s="31"/>
      <c r="C108" s="180"/>
      <c r="D108" s="254" t="s">
        <v>116</v>
      </c>
      <c r="E108" s="31"/>
      <c r="F108" s="254" t="s">
        <v>116</v>
      </c>
      <c r="G108" s="31"/>
      <c r="J108" s="328" t="s">
        <v>116</v>
      </c>
      <c r="N108" s="328" t="s">
        <v>116</v>
      </c>
    </row>
    <row r="109" spans="1:18" ht="16" thickBot="1" x14ac:dyDescent="0.4">
      <c r="B109" s="3" t="s">
        <v>70</v>
      </c>
      <c r="C109" s="14"/>
      <c r="D109" s="96">
        <f>D55</f>
        <v>2.25</v>
      </c>
      <c r="E109" s="14"/>
      <c r="F109" s="96">
        <f>J95</f>
        <v>2.25</v>
      </c>
      <c r="G109" s="31"/>
      <c r="H109" s="184"/>
      <c r="I109" s="14"/>
      <c r="J109" s="96">
        <f>N95</f>
        <v>2.25</v>
      </c>
      <c r="K109" s="137"/>
      <c r="L109" s="137"/>
      <c r="M109" s="137"/>
      <c r="N109" s="96">
        <f>J109</f>
        <v>2.25</v>
      </c>
    </row>
    <row r="110" spans="1:18" ht="25.5" x14ac:dyDescent="0.3">
      <c r="B110" s="460"/>
      <c r="C110" s="138" t="s">
        <v>46</v>
      </c>
      <c r="D110" s="111" t="s">
        <v>48</v>
      </c>
      <c r="E110" s="245" t="s">
        <v>106</v>
      </c>
      <c r="F110" s="110" t="s">
        <v>48</v>
      </c>
      <c r="G110" s="111" t="s">
        <v>106</v>
      </c>
      <c r="H110" s="112" t="s">
        <v>51</v>
      </c>
      <c r="I110" s="207" t="s">
        <v>52</v>
      </c>
      <c r="J110" s="110" t="s">
        <v>48</v>
      </c>
      <c r="K110" s="111" t="s">
        <v>106</v>
      </c>
      <c r="L110" s="112" t="s">
        <v>51</v>
      </c>
      <c r="M110" s="207" t="s">
        <v>52</v>
      </c>
      <c r="N110" s="110" t="s">
        <v>48</v>
      </c>
      <c r="O110" s="111" t="s">
        <v>106</v>
      </c>
      <c r="P110" s="150" t="s">
        <v>51</v>
      </c>
      <c r="Q110" s="156" t="s">
        <v>154</v>
      </c>
      <c r="R110" s="113"/>
    </row>
    <row r="111" spans="1:18" x14ac:dyDescent="0.3">
      <c r="B111" s="461"/>
      <c r="C111" s="139" t="s">
        <v>110</v>
      </c>
      <c r="D111" s="124" t="s">
        <v>55</v>
      </c>
      <c r="E111" s="211" t="s">
        <v>60</v>
      </c>
      <c r="F111" s="123" t="s">
        <v>55</v>
      </c>
      <c r="G111" s="124" t="s">
        <v>62</v>
      </c>
      <c r="H111" s="121" t="str">
        <f>"Tarife "&amp; C8+2</f>
        <v>Tarife 2028</v>
      </c>
      <c r="I111" s="213" t="s">
        <v>57</v>
      </c>
      <c r="J111" s="123" t="s">
        <v>55</v>
      </c>
      <c r="K111" s="124" t="s">
        <v>67</v>
      </c>
      <c r="L111" s="121" t="str">
        <f>"Tarife "&amp; C8+3</f>
        <v>Tarife 2029</v>
      </c>
      <c r="M111" s="213" t="s">
        <v>57</v>
      </c>
      <c r="N111" s="123" t="s">
        <v>55</v>
      </c>
      <c r="O111" s="124" t="s">
        <v>69</v>
      </c>
      <c r="P111" s="152" t="str">
        <f>"Tarife "&amp; C8+4</f>
        <v>Tarife 2030</v>
      </c>
      <c r="Q111" s="157" t="s">
        <v>53</v>
      </c>
      <c r="R111" s="122"/>
    </row>
    <row r="112" spans="1:18" x14ac:dyDescent="0.3">
      <c r="B112" s="461"/>
      <c r="C112" s="139"/>
      <c r="D112" s="124"/>
      <c r="E112" s="211"/>
      <c r="F112" s="123"/>
      <c r="G112" s="124"/>
      <c r="H112" s="121" t="s">
        <v>63</v>
      </c>
      <c r="I112" s="213"/>
      <c r="J112" s="123"/>
      <c r="K112" s="124"/>
      <c r="L112" s="121" t="s">
        <v>64</v>
      </c>
      <c r="M112" s="213"/>
      <c r="N112" s="123"/>
      <c r="O112" s="124"/>
      <c r="P112" s="152" t="s">
        <v>65</v>
      </c>
      <c r="Q112" s="158"/>
      <c r="R112" s="122"/>
    </row>
    <row r="113" spans="1:22" ht="14.5" thickBot="1" x14ac:dyDescent="0.35">
      <c r="B113" s="461"/>
      <c r="C113" s="139" t="s">
        <v>38</v>
      </c>
      <c r="D113" s="124" t="s">
        <v>38</v>
      </c>
      <c r="E113" s="211" t="s">
        <v>38</v>
      </c>
      <c r="F113" s="123" t="s">
        <v>38</v>
      </c>
      <c r="G113" s="124" t="s">
        <v>38</v>
      </c>
      <c r="H113" s="121" t="s">
        <v>38</v>
      </c>
      <c r="I113" s="213" t="s">
        <v>38</v>
      </c>
      <c r="J113" s="123" t="s">
        <v>38</v>
      </c>
      <c r="K113" s="124" t="s">
        <v>38</v>
      </c>
      <c r="L113" s="121" t="s">
        <v>38</v>
      </c>
      <c r="M113" s="213" t="s">
        <v>38</v>
      </c>
      <c r="N113" s="123" t="s">
        <v>38</v>
      </c>
      <c r="O113" s="124" t="s">
        <v>38</v>
      </c>
      <c r="P113" s="152" t="s">
        <v>38</v>
      </c>
      <c r="Q113" s="158" t="s">
        <v>38</v>
      </c>
      <c r="R113" s="125" t="s">
        <v>14</v>
      </c>
    </row>
    <row r="114" spans="1:22" s="171" customFormat="1" ht="27" customHeight="1" thickBot="1" x14ac:dyDescent="0.35">
      <c r="A114" s="103"/>
      <c r="B114" s="182" t="str">
        <f>"Übersicht DD 2026 bis Abbau Null "</f>
        <v xml:space="preserve">Übersicht DD 2026 bis Abbau Null </v>
      </c>
      <c r="C114" s="140">
        <f>D51</f>
        <v>-0.23858218663372099</v>
      </c>
      <c r="D114" s="129">
        <f>C114*(D109/100)</f>
        <v>-5.3680991992587218E-3</v>
      </c>
      <c r="E114" s="212">
        <f>D114+C114</f>
        <v>-0.24395028583297973</v>
      </c>
      <c r="F114" s="169">
        <f>E114*(F109/100)</f>
        <v>-5.488881431242044E-3</v>
      </c>
      <c r="G114" s="147">
        <f>E114+F114</f>
        <v>-0.24943916726422177</v>
      </c>
      <c r="H114" s="149">
        <f>IF(H115&lt;ABS(G114),(-G114-H115)/3*(1+F109/100),0)</f>
        <v>8.5017182842555591E-2</v>
      </c>
      <c r="I114" s="210">
        <f>G114+H114+H115</f>
        <v>-0.16442198442166617</v>
      </c>
      <c r="J114" s="169">
        <f>I114*(J109/100)</f>
        <v>-3.6994946494874888E-3</v>
      </c>
      <c r="K114" s="147">
        <f>J114+I114</f>
        <v>-0.16812147907115366</v>
      </c>
      <c r="L114" s="149">
        <f>IF(L115&lt;ABS(K114),(-K114-L115)/2,0)</f>
        <v>8.4060739535576828E-2</v>
      </c>
      <c r="M114" s="205">
        <f>K114+L114+L115</f>
        <v>-8.4060739535576828E-2</v>
      </c>
      <c r="N114" s="169">
        <f>M114*(N109/100)</f>
        <v>-1.8913666395504786E-3</v>
      </c>
      <c r="O114" s="147">
        <f>N114+M114</f>
        <v>-8.5952106175127302E-2</v>
      </c>
      <c r="P114" s="155">
        <f>-O114-P115</f>
        <v>8.5952106175127302E-2</v>
      </c>
      <c r="Q114" s="168">
        <f>O114+P114+P115</f>
        <v>0</v>
      </c>
      <c r="R114" s="214"/>
    </row>
    <row r="115" spans="1:22" x14ac:dyDescent="0.3">
      <c r="B115" s="188" t="s">
        <v>91</v>
      </c>
      <c r="C115" s="31"/>
      <c r="D115" s="31"/>
      <c r="E115" s="31"/>
      <c r="F115" s="31"/>
      <c r="G115" s="31"/>
      <c r="H115" s="252">
        <v>0</v>
      </c>
      <c r="I115" s="31"/>
      <c r="J115" s="103"/>
      <c r="K115" s="103"/>
      <c r="L115" s="252">
        <v>0</v>
      </c>
      <c r="M115" s="103"/>
      <c r="N115" s="103"/>
      <c r="O115" s="103"/>
      <c r="P115" s="252">
        <v>0</v>
      </c>
      <c r="Q115" s="104"/>
    </row>
    <row r="116" spans="1:22" ht="24.75" customHeight="1" x14ac:dyDescent="0.3">
      <c r="H116" s="186" t="s">
        <v>93</v>
      </c>
      <c r="L116" s="186" t="s">
        <v>93</v>
      </c>
      <c r="P116" s="186" t="s">
        <v>93</v>
      </c>
    </row>
    <row r="117" spans="1:22" x14ac:dyDescent="0.3">
      <c r="F117" s="190"/>
      <c r="J117" s="190"/>
      <c r="N117" s="190"/>
    </row>
    <row r="118" spans="1:22" x14ac:dyDescent="0.3">
      <c r="B118" s="143"/>
      <c r="C118" s="31"/>
      <c r="D118" s="31"/>
      <c r="E118" s="31"/>
      <c r="F118" s="31"/>
      <c r="G118" s="31"/>
      <c r="H118" s="144"/>
      <c r="L118" s="144"/>
      <c r="P118" s="144"/>
      <c r="Q118" s="104"/>
    </row>
    <row r="119" spans="1:22" s="102" customFormat="1" ht="28.5" customHeight="1" x14ac:dyDescent="0.35">
      <c r="A119" s="145" t="s">
        <v>74</v>
      </c>
      <c r="B119" s="100"/>
      <c r="C119" s="100"/>
      <c r="D119" s="100"/>
      <c r="E119" s="100"/>
      <c r="F119" s="100"/>
      <c r="G119" s="100"/>
      <c r="H119" s="101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</row>
    <row r="121" spans="1:22" ht="15.5" x14ac:dyDescent="0.35">
      <c r="B121" s="3" t="s">
        <v>74</v>
      </c>
      <c r="C121" s="81" t="s">
        <v>92</v>
      </c>
      <c r="D121" s="81" t="s">
        <v>75</v>
      </c>
      <c r="E121" s="14" t="s">
        <v>76</v>
      </c>
      <c r="F121" s="14" t="s">
        <v>77</v>
      </c>
      <c r="G121" s="81" t="s">
        <v>98</v>
      </c>
    </row>
    <row r="122" spans="1:22" ht="16" thickBot="1" x14ac:dyDescent="0.4">
      <c r="B122" s="3"/>
      <c r="C122" s="317" t="s">
        <v>150</v>
      </c>
      <c r="D122" s="445" t="s">
        <v>151</v>
      </c>
      <c r="E122" s="446"/>
      <c r="F122" s="14"/>
      <c r="G122" s="81"/>
    </row>
    <row r="123" spans="1:22" ht="39.65" customHeight="1" x14ac:dyDescent="0.3">
      <c r="B123" s="460"/>
      <c r="C123" s="121" t="s">
        <v>45</v>
      </c>
      <c r="D123" s="124" t="s">
        <v>146</v>
      </c>
      <c r="E123" s="318" t="s">
        <v>145</v>
      </c>
      <c r="F123" s="112" t="s">
        <v>120</v>
      </c>
      <c r="G123" s="217" t="s">
        <v>120</v>
      </c>
    </row>
    <row r="124" spans="1:22" x14ac:dyDescent="0.3">
      <c r="B124" s="461"/>
      <c r="C124" s="215"/>
      <c r="D124" s="146">
        <f>$C$8</f>
        <v>2026</v>
      </c>
      <c r="E124" s="146">
        <f>C8</f>
        <v>2026</v>
      </c>
      <c r="F124" s="146">
        <f>E124+1</f>
        <v>2027</v>
      </c>
      <c r="G124" s="244">
        <f>E124+2</f>
        <v>2028</v>
      </c>
    </row>
    <row r="125" spans="1:22" ht="14.5" thickBot="1" x14ac:dyDescent="0.35">
      <c r="B125" s="461"/>
      <c r="C125" s="139" t="s">
        <v>38</v>
      </c>
      <c r="D125" s="124" t="s">
        <v>38</v>
      </c>
      <c r="E125" s="179" t="s">
        <v>38</v>
      </c>
      <c r="F125" s="121" t="s">
        <v>38</v>
      </c>
      <c r="G125" s="218" t="s">
        <v>38</v>
      </c>
    </row>
    <row r="126" spans="1:22" ht="14.5" thickBot="1" x14ac:dyDescent="0.35">
      <c r="B126" s="126" t="s">
        <v>78</v>
      </c>
      <c r="C126" s="222">
        <f>Q71</f>
        <v>1130.0407522799999</v>
      </c>
      <c r="D126" s="222">
        <f>SUM(D128:D130)</f>
        <v>59602.92310685417</v>
      </c>
      <c r="E126" s="222">
        <f>C114</f>
        <v>-0.23858218663372099</v>
      </c>
      <c r="F126" s="223">
        <f>SUM(F128:F130)</f>
        <v>-27497.352764380415</v>
      </c>
      <c r="G126" s="286">
        <f>SUM(G127:G129)+G131</f>
        <v>-25702.980550220043</v>
      </c>
    </row>
    <row r="127" spans="1:22" ht="14.5" thickBot="1" x14ac:dyDescent="0.35">
      <c r="B127" s="216" t="str">
        <f>"davon t ["&amp;$C$8&amp;"]"</f>
        <v>davon t [2026]</v>
      </c>
      <c r="C127" s="301"/>
      <c r="D127" s="301"/>
      <c r="E127" s="301"/>
      <c r="F127" s="301"/>
      <c r="G127" s="226">
        <f>H114</f>
        <v>8.5017182842555591E-2</v>
      </c>
      <c r="H127" s="282"/>
    </row>
    <row r="128" spans="1:22" ht="14.5" thickBot="1" x14ac:dyDescent="0.35">
      <c r="B128" s="216" t="str">
        <f>"davon t-1 ["&amp;$C$8-1&amp;"]"</f>
        <v>davon t-1 [2025]</v>
      </c>
      <c r="C128" s="302"/>
      <c r="D128" s="219">
        <f>I100</f>
        <v>68916.976142036467</v>
      </c>
      <c r="E128" s="302"/>
      <c r="F128" s="221">
        <f>H100</f>
        <v>-35634.694364213545</v>
      </c>
      <c r="G128" s="225">
        <f>L100</f>
        <v>-35233.804052616142</v>
      </c>
    </row>
    <row r="129" spans="2:7" ht="14.5" thickBot="1" x14ac:dyDescent="0.35">
      <c r="B129" s="216" t="str">
        <f>"davon t-2 ["&amp;$C$8-2&amp;"]"</f>
        <v>davon t-2 [2024]</v>
      </c>
      <c r="C129" s="302"/>
      <c r="D129" s="219">
        <f>M86</f>
        <v>-9314.0530351822927</v>
      </c>
      <c r="E129" s="302"/>
      <c r="F129" s="221">
        <f>L86</f>
        <v>9314.0530351822927</v>
      </c>
      <c r="G129" s="225">
        <f>P86</f>
        <v>9523.6192284738936</v>
      </c>
    </row>
    <row r="130" spans="2:7" ht="14.5" thickBot="1" x14ac:dyDescent="0.35">
      <c r="B130" s="246" t="str">
        <f>"davon t-3 ["&amp;$C$8-3&amp;"]"</f>
        <v>davon t-3 [2023]</v>
      </c>
      <c r="C130" s="304"/>
      <c r="D130" s="304"/>
      <c r="E130" s="304"/>
      <c r="F130" s="220">
        <f>T71</f>
        <v>-1176.7114353491638</v>
      </c>
      <c r="G130" s="305"/>
    </row>
    <row r="131" spans="2:7" ht="14.5" thickBot="1" x14ac:dyDescent="0.35">
      <c r="B131" s="288" t="s">
        <v>124</v>
      </c>
      <c r="C131" s="103"/>
      <c r="D131" s="103"/>
      <c r="E131" s="103"/>
      <c r="F131" s="305"/>
      <c r="G131" s="289">
        <f>-U71</f>
        <v>7.119256739363891</v>
      </c>
    </row>
  </sheetData>
  <sheetProtection formatCells="0" formatColumns="0" formatRows="0" selectLockedCells="1"/>
  <dataConsolidate/>
  <mergeCells count="45">
    <mergeCell ref="D122:E122"/>
    <mergeCell ref="B123:B125"/>
    <mergeCell ref="J18:K18"/>
    <mergeCell ref="B16:B17"/>
    <mergeCell ref="J16:K16"/>
    <mergeCell ref="J17:K17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B48:C48"/>
    <mergeCell ref="E48:K48"/>
    <mergeCell ref="J33:K33"/>
    <mergeCell ref="J34:K34"/>
    <mergeCell ref="J35:K35"/>
    <mergeCell ref="B37:C37"/>
    <mergeCell ref="E42:K42"/>
    <mergeCell ref="B46:C46"/>
    <mergeCell ref="E46:K46"/>
    <mergeCell ref="B47:C47"/>
    <mergeCell ref="E47:K47"/>
    <mergeCell ref="E37:K37"/>
    <mergeCell ref="N78:N79"/>
    <mergeCell ref="B82:B85"/>
    <mergeCell ref="B96:B99"/>
    <mergeCell ref="B110:B113"/>
    <mergeCell ref="B51:C51"/>
    <mergeCell ref="E51:K51"/>
    <mergeCell ref="E52:K52"/>
    <mergeCell ref="E53:K53"/>
    <mergeCell ref="B55:C55"/>
    <mergeCell ref="E55:K55"/>
    <mergeCell ref="E57:K57"/>
    <mergeCell ref="B68:B70"/>
    <mergeCell ref="D77:D78"/>
    <mergeCell ref="F78:F79"/>
    <mergeCell ref="J78:J79"/>
  </mergeCells>
  <conditionalFormatting sqref="F126">
    <cfRule type="cellIs" dxfId="165" priority="67" stopIfTrue="1" operator="notEqual">
      <formula>0</formula>
    </cfRule>
  </conditionalFormatting>
  <conditionalFormatting sqref="F128:F129">
    <cfRule type="cellIs" dxfId="164" priority="62" stopIfTrue="1" operator="notEqual">
      <formula>0</formula>
    </cfRule>
  </conditionalFormatting>
  <conditionalFormatting sqref="F86:I86">
    <cfRule type="cellIs" dxfId="163" priority="140" stopIfTrue="1" operator="notEqual">
      <formula>0</formula>
    </cfRule>
  </conditionalFormatting>
  <conditionalFormatting sqref="F100:I100">
    <cfRule type="cellIs" dxfId="162" priority="57" stopIfTrue="1" operator="notEqual">
      <formula>0</formula>
    </cfRule>
  </conditionalFormatting>
  <conditionalFormatting sqref="F114:I114">
    <cfRule type="cellIs" dxfId="161" priority="32" stopIfTrue="1" operator="notEqual">
      <formula>0</formula>
    </cfRule>
  </conditionalFormatting>
  <conditionalFormatting sqref="G31:G32">
    <cfRule type="cellIs" dxfId="160" priority="108" stopIfTrue="1" operator="notEqual">
      <formula>0</formula>
    </cfRule>
  </conditionalFormatting>
  <conditionalFormatting sqref="G126:G129">
    <cfRule type="cellIs" dxfId="159" priority="61" stopIfTrue="1" operator="notEqual">
      <formula>0</formula>
    </cfRule>
  </conditionalFormatting>
  <conditionalFormatting sqref="G131">
    <cfRule type="cellIs" dxfId="158" priority="52" stopIfTrue="1" operator="notEqual">
      <formula>0</formula>
    </cfRule>
  </conditionalFormatting>
  <conditionalFormatting sqref="H18:I19 G19 J19 G22:I23 G24:G30 H24:H32 I24:I35 G33:G35 J35">
    <cfRule type="cellIs" dxfId="157" priority="107" stopIfTrue="1" operator="notEqual">
      <formula>0</formula>
    </cfRule>
  </conditionalFormatting>
  <conditionalFormatting sqref="I71">
    <cfRule type="cellIs" dxfId="156" priority="42" stopIfTrue="1" operator="notEqual">
      <formula>0</formula>
    </cfRule>
  </conditionalFormatting>
  <conditionalFormatting sqref="K71:M71">
    <cfRule type="cellIs" dxfId="155" priority="43" stopIfTrue="1" operator="notEqual">
      <formula>0</formula>
    </cfRule>
  </conditionalFormatting>
  <conditionalFormatting sqref="K86:M86">
    <cfRule type="cellIs" dxfId="154" priority="139" stopIfTrue="1" operator="notEqual">
      <formula>0</formula>
    </cfRule>
  </conditionalFormatting>
  <conditionalFormatting sqref="K100:M100">
    <cfRule type="cellIs" dxfId="153" priority="36" stopIfTrue="1" operator="notEqual">
      <formula>0</formula>
    </cfRule>
  </conditionalFormatting>
  <conditionalFormatting sqref="K114:M114">
    <cfRule type="cellIs" dxfId="152" priority="30" stopIfTrue="1" operator="notEqual">
      <formula>0</formula>
    </cfRule>
  </conditionalFormatting>
  <conditionalFormatting sqref="O71:Q71">
    <cfRule type="cellIs" dxfId="151" priority="40" stopIfTrue="1" operator="notEqual">
      <formula>0</formula>
    </cfRule>
  </conditionalFormatting>
  <conditionalFormatting sqref="O86:Q86">
    <cfRule type="cellIs" dxfId="150" priority="38" stopIfTrue="1" operator="notEqual">
      <formula>0</formula>
    </cfRule>
  </conditionalFormatting>
  <conditionalFormatting sqref="O100:Q100">
    <cfRule type="cellIs" dxfId="149" priority="34" stopIfTrue="1" operator="notEqual">
      <formula>0</formula>
    </cfRule>
  </conditionalFormatting>
  <conditionalFormatting sqref="O114:Q114">
    <cfRule type="cellIs" dxfId="148" priority="28" stopIfTrue="1" operator="notEqual">
      <formula>0</formula>
    </cfRule>
  </conditionalFormatting>
  <conditionalFormatting sqref="S71:U71">
    <cfRule type="cellIs" dxfId="147" priority="131" stopIfTrue="1" operator="notEqual">
      <formula>0</formula>
    </cfRule>
  </conditionalFormatting>
  <conditionalFormatting sqref="P87">
    <cfRule type="expression" dxfId="146" priority="23">
      <formula>AND(P87&gt; -O86, P87 &lt;&gt; 0)</formula>
    </cfRule>
    <cfRule type="expression" dxfId="145" priority="24">
      <formula>O86&gt;=0</formula>
    </cfRule>
  </conditionalFormatting>
  <conditionalFormatting sqref="L101">
    <cfRule type="expression" dxfId="144" priority="21">
      <formula>AND(L101&gt; -K100, L101 &lt;&gt; 0)</formula>
    </cfRule>
    <cfRule type="expression" dxfId="143" priority="22">
      <formula>K100&gt;=0</formula>
    </cfRule>
  </conditionalFormatting>
  <conditionalFormatting sqref="P101">
    <cfRule type="expression" dxfId="142" priority="19">
      <formula>AND(P101&gt; -O100, P101 &lt;&gt; 0)</formula>
    </cfRule>
    <cfRule type="expression" dxfId="141" priority="20">
      <formula>O100&gt;=0</formula>
    </cfRule>
  </conditionalFormatting>
  <conditionalFormatting sqref="H115">
    <cfRule type="expression" dxfId="140" priority="17">
      <formula>AND(H115&gt; -G114, H115 &lt;&gt; 0)</formula>
    </cfRule>
    <cfRule type="expression" dxfId="139" priority="18">
      <formula>G114&gt;=0</formula>
    </cfRule>
  </conditionalFormatting>
  <conditionalFormatting sqref="L115">
    <cfRule type="expression" dxfId="138" priority="15">
      <formula>AND(L115&gt; -K114, L115 &lt;&gt; 0)</formula>
    </cfRule>
    <cfRule type="expression" dxfId="137" priority="16">
      <formula>K114&gt;=0</formula>
    </cfRule>
  </conditionalFormatting>
  <conditionalFormatting sqref="P115">
    <cfRule type="expression" dxfId="136" priority="13">
      <formula>AND(P115&gt; -O114, P115 &lt;&gt; 0)</formula>
    </cfRule>
    <cfRule type="expression" dxfId="135" priority="14">
      <formula>O114&gt;=0</formula>
    </cfRule>
  </conditionalFormatting>
  <conditionalFormatting sqref="U72">
    <cfRule type="expression" dxfId="134" priority="9">
      <formula>AND(U72&gt;-V72,$Q$87 &lt;&gt; 0)</formula>
    </cfRule>
    <cfRule type="expression" dxfId="133" priority="10">
      <formula>V72&gt;=0</formula>
    </cfRule>
  </conditionalFormatting>
  <conditionalFormatting sqref="B46:C46">
    <cfRule type="expression" dxfId="132" priority="1" stopIfTrue="1">
      <formula>AND($D$46&lt;&gt;"",$D$46&lt;&gt;0)</formula>
    </cfRule>
    <cfRule type="expression" dxfId="131" priority="2" stopIfTrue="1">
      <formula>AND($D$46="",$D$46=0)</formula>
    </cfRule>
  </conditionalFormatting>
  <conditionalFormatting sqref="B47:C47">
    <cfRule type="expression" dxfId="130" priority="3" stopIfTrue="1">
      <formula>AND($D$47&lt;&gt;"",$D$47&lt;&gt;0)</formula>
    </cfRule>
    <cfRule type="expression" dxfId="129" priority="4" stopIfTrue="1">
      <formula>AND($D$47="",$D$47=0)</formula>
    </cfRule>
  </conditionalFormatting>
  <dataValidations count="7">
    <dataValidation type="date" allowBlank="1" showErrorMessage="1" errorTitle="Datum" error="Bitte geben Sie ein Datum ein!" promptTitle="Energietarifperiode:" prompt="Eingabe des Tarifjahres" sqref="C11" xr:uid="{04C6BF7A-9FA4-4C6C-8BF7-2811A4EEFFCD}">
      <formula1>36526</formula1>
      <formula2>55153</formula2>
    </dataValidation>
    <dataValidation type="decimal" allowBlank="1" showInputMessage="1" showErrorMessage="1" errorTitle="Standard" error="Bitte geben Sie einen Zahlenwert ein!" sqref="D62:E67 D57:E57" xr:uid="{8AA24586-9660-4ECB-A573-9F68094A2351}">
      <formula1>-1000000000</formula1>
      <formula2>1000000000</formula2>
    </dataValidation>
    <dataValidation allowBlank="1" showInputMessage="1" showErrorMessage="1" prompt="Tarifneutrale Unterdeckungs-Ausbuchung erfolgt mit + " sqref="M51" xr:uid="{97E4A243-4444-4100-A2F6-9ED233C7F765}"/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N109 J109 F109 J81 N81 D109 F95 J95 N95" xr:uid="{B4B42390-0657-4C3E-AFBC-2F42E6F51800}"/>
    <dataValidation allowBlank="1" showInputMessage="1" showErrorMessage="1" promptTitle="WACC-Netz" prompt="- bei Unterdeckung keine Verzinsungspflicht (höchstens WACC-Netz)_x000a_- bei Überdeckungen Mindestverzinsung (WACC-Netz)" sqref="R67" xr:uid="{5912A468-13FF-4A70-91D6-179B95FFC8F7}"/>
    <dataValidation type="decimal" allowBlank="1" showInputMessage="1" showErrorMessage="1" promptTitle="Tarifneutrale Ausbuchung" prompt="Keine negative Werte_x000a_" sqref="P87 L101 P101 H115 L115 P115" xr:uid="{6403146B-DB3F-420D-B805-8951929DEC78}">
      <formula1>0</formula1>
      <formula2>MAX(-G86,0)</formula2>
    </dataValidation>
    <dataValidation type="decimal" allowBlank="1" showInputMessage="1" showErrorMessage="1" errorTitle="Achtung Rundungsproblem" error="Wenn Sie den negativen Rest (Unterdeckung) ganz entfernen möchten, geben Sie bitte einen um 0,01 Rp. oder 0,005 Rp. niedrigeren Betrag ein." promptTitle="Tarifneutrale Ausbuchung" prompt="Keine negative Werte_x000a_" sqref="U72" xr:uid="{F22068D1-2743-46CA-92CE-DA69C7BC1B65}">
      <formula1>0</formula1>
      <formula2>MAX(-V72,0)</formula2>
    </dataValidation>
  </dataValidations>
  <hyperlinks>
    <hyperlink ref="J24:K24" location="Grosswasserkraft!A1" display="Siehe Formular 5.4" xr:uid="{60A5CFF3-8A63-4430-98F1-2B6120079482}"/>
    <hyperlink ref="J23:K23" location="'Art. 6 Abs. 5bis StromVG'!A1" display="Siehe Formular 5.5" xr:uid="{5460DC79-FE1E-4E93-9EDC-1A245809EF83}"/>
    <hyperlink ref="J26:K26" location="'Art. 6 Abs. 5bis StromVG'!A1" display="Siehe Formular 5.5" xr:uid="{21687C11-7BB0-410C-A25E-32E3CEEA4762}"/>
  </hyperlinks>
  <pageMargins left="0.39370078740157483" right="0.19685039370078741" top="0.98425196850393704" bottom="0.6692913385826772" header="0.31496062992125984" footer="0.23622047244094491"/>
  <pageSetup paperSize="8" scale="47" fitToHeight="2" orientation="landscape" r:id="rId1"/>
  <headerFooter scaleWithDoc="0">
    <oddHeader>&amp;C&amp;A; &amp;D</oddHeader>
    <oddFooter>&amp;LNachkalkulation Deckungsdifferenzen Energie 2026&amp;RSeite 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D1FF6-EEF5-4157-9465-1B542B9D0C29}">
  <sheetPr codeName="Tabelle7">
    <outlinePr summaryBelow="0" summaryRight="0"/>
  </sheetPr>
  <dimension ref="A1:AE146"/>
  <sheetViews>
    <sheetView showGridLines="0" zoomScale="80" zoomScaleNormal="80" workbookViewId="0">
      <selection activeCell="C8" sqref="C8"/>
    </sheetView>
  </sheetViews>
  <sheetFormatPr baseColWidth="10" defaultColWidth="11" defaultRowHeight="14" x14ac:dyDescent="0.3"/>
  <cols>
    <col min="1" max="1" width="7.81640625" style="2" customWidth="1"/>
    <col min="2" max="2" width="54.5429687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10" width="18.7265625" style="2" customWidth="1"/>
    <col min="11" max="11" width="17.26953125" style="2" customWidth="1"/>
    <col min="12" max="13" width="17.453125" style="2" customWidth="1"/>
    <col min="14" max="14" width="18.72656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3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228"/>
      <c r="W1" s="228"/>
      <c r="X1" s="103"/>
      <c r="Y1" s="103"/>
      <c r="Z1" s="103"/>
      <c r="AA1" s="103"/>
      <c r="AB1" s="103"/>
      <c r="AC1" s="103"/>
      <c r="AD1" s="103"/>
      <c r="AE1" s="103"/>
    </row>
    <row r="2" spans="1:31" ht="15.5" x14ac:dyDescent="0.35">
      <c r="A2" s="1"/>
      <c r="B2" s="3" t="str">
        <f>"Kostenrechnung für Tarife "&amp;C8+2</f>
        <v>Kostenrechnung für Tarife 2029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  <c r="Z2" s="103"/>
      <c r="AA2" s="103"/>
      <c r="AB2" s="103"/>
      <c r="AC2" s="103"/>
      <c r="AD2" s="103"/>
      <c r="AE2" s="103"/>
    </row>
    <row r="3" spans="1:31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  <c r="Z3" s="103"/>
      <c r="AA3" s="103"/>
      <c r="AB3" s="103"/>
      <c r="AC3" s="103"/>
      <c r="AD3" s="103"/>
      <c r="AE3" s="103"/>
    </row>
    <row r="4" spans="1:31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20.25" customHeight="1" x14ac:dyDescent="0.4">
      <c r="A5" s="1"/>
      <c r="B5" s="4" t="str">
        <f>"Deckungsdifferenzen (DD) Energie "&amp;C8</f>
        <v>Deckungsdifferenzen (DD) Energie 2027</v>
      </c>
      <c r="C5" s="1"/>
      <c r="D5" s="1"/>
      <c r="E5" s="1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</row>
    <row r="6" spans="1:31" x14ac:dyDescent="0.3">
      <c r="A6" s="1"/>
      <c r="B6" s="5" t="s">
        <v>105</v>
      </c>
      <c r="C6" s="1"/>
      <c r="D6" s="1"/>
      <c r="E6" s="1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1:31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</row>
    <row r="8" spans="1:31" s="9" customFormat="1" ht="15" customHeight="1" x14ac:dyDescent="0.3">
      <c r="A8" s="6"/>
      <c r="B8" s="12" t="s">
        <v>115</v>
      </c>
      <c r="C8" s="8">
        <v>2027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  <c r="Z9" s="31"/>
      <c r="AA9" s="31"/>
      <c r="AB9" s="31"/>
      <c r="AC9" s="31"/>
      <c r="AD9" s="31"/>
      <c r="AE9" s="31"/>
    </row>
    <row r="10" spans="1:31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  <c r="Z10" s="31"/>
      <c r="AA10" s="31"/>
      <c r="AB10" s="31"/>
      <c r="AC10" s="31"/>
      <c r="AD10" s="31"/>
      <c r="AE10" s="31"/>
    </row>
    <row r="11" spans="1:31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6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  <c r="Z11" s="31"/>
      <c r="AA11" s="31"/>
      <c r="AB11" s="31"/>
      <c r="AC11" s="31"/>
      <c r="AD11" s="31"/>
      <c r="AE11" s="31"/>
    </row>
    <row r="12" spans="1:31" ht="15" customHeight="1" x14ac:dyDescent="0.3">
      <c r="A12" s="1"/>
      <c r="B12" s="15" t="s">
        <v>2</v>
      </c>
      <c r="C12" s="16">
        <v>46388</v>
      </c>
      <c r="D12" s="15" t="s">
        <v>3</v>
      </c>
      <c r="E12" s="16">
        <v>46752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  <c r="Z12" s="103"/>
      <c r="AA12" s="103"/>
      <c r="AB12" s="103"/>
      <c r="AC12" s="103"/>
      <c r="AD12" s="103"/>
      <c r="AE12" s="103"/>
    </row>
    <row r="13" spans="1:31" x14ac:dyDescent="0.3">
      <c r="A13" s="1"/>
      <c r="B13" s="12"/>
      <c r="C13" s="17"/>
      <c r="D13" s="1"/>
      <c r="E13" s="1"/>
      <c r="F13" s="1"/>
      <c r="G13" s="1"/>
      <c r="H13" s="1"/>
      <c r="I13" s="1"/>
      <c r="J13" s="1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  <c r="Z13" s="103"/>
      <c r="AA13" s="103"/>
      <c r="AB13" s="103"/>
      <c r="AC13" s="103"/>
      <c r="AD13" s="103"/>
      <c r="AE13" s="103"/>
    </row>
    <row r="14" spans="1:31" s="30" customFormat="1" ht="20.149999999999999" customHeight="1" x14ac:dyDescent="0.35">
      <c r="A14" s="25"/>
      <c r="B14" s="384" t="s">
        <v>4</v>
      </c>
      <c r="C14" s="385"/>
      <c r="D14" s="25"/>
      <c r="E14" s="387">
        <v>5.1100000000000003</v>
      </c>
      <c r="F14" s="388" t="s">
        <v>116</v>
      </c>
      <c r="G14" s="25"/>
      <c r="H14" s="25"/>
      <c r="I14" s="25"/>
      <c r="J14" s="25"/>
      <c r="K14" s="25"/>
      <c r="L14" s="233"/>
      <c r="M14" s="233"/>
      <c r="N14" s="231"/>
      <c r="O14" s="233"/>
      <c r="P14" s="233"/>
      <c r="Q14" s="233"/>
      <c r="R14" s="233"/>
      <c r="S14" s="233"/>
      <c r="T14" s="233"/>
      <c r="U14" s="233"/>
      <c r="V14" s="233"/>
      <c r="W14" s="233"/>
      <c r="X14" s="171"/>
      <c r="Y14" s="171"/>
      <c r="Z14" s="171"/>
      <c r="AA14" s="171"/>
      <c r="AB14" s="171"/>
      <c r="AC14" s="171"/>
      <c r="AD14" s="171"/>
      <c r="AE14" s="171"/>
    </row>
    <row r="15" spans="1:31" ht="60" customHeight="1" thickBot="1" x14ac:dyDescent="0.4">
      <c r="A15" s="1"/>
      <c r="B15" s="335" t="s">
        <v>157</v>
      </c>
      <c r="C15" s="3" t="str">
        <f>"IST-Gestehungskosten  "&amp;C8</f>
        <v>IST-Gestehungskosten  2027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  <c r="Z15" s="103"/>
      <c r="AA15" s="103"/>
      <c r="AB15" s="103"/>
      <c r="AC15" s="103"/>
      <c r="AD15" s="103"/>
      <c r="AE15" s="103"/>
    </row>
    <row r="16" spans="1:31" x14ac:dyDescent="0.3">
      <c r="A16" s="1"/>
      <c r="B16" s="412" t="s">
        <v>5</v>
      </c>
      <c r="C16" s="161" t="s">
        <v>6</v>
      </c>
      <c r="D16" s="20">
        <f>IF(C12&lt;&gt;"",C12,"")</f>
        <v>46388</v>
      </c>
      <c r="E16" s="21" t="s">
        <v>3</v>
      </c>
      <c r="F16" s="20">
        <f>IF(E12&lt;&gt;"",E12,"")</f>
        <v>46752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  <c r="Z16" s="103"/>
      <c r="AA16" s="103"/>
      <c r="AB16" s="103"/>
      <c r="AC16" s="103"/>
      <c r="AD16" s="103"/>
      <c r="AE16" s="103"/>
    </row>
    <row r="17" spans="1:31" ht="44.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13</v>
      </c>
      <c r="J17" s="416" t="s">
        <v>14</v>
      </c>
      <c r="K17" s="41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  <c r="Z17" s="103"/>
      <c r="AA17" s="103"/>
      <c r="AB17" s="103"/>
      <c r="AC17" s="103"/>
      <c r="AD17" s="103"/>
      <c r="AE17" s="103"/>
    </row>
    <row r="18" spans="1:31" s="30" customFormat="1" ht="18" customHeight="1" thickBot="1" x14ac:dyDescent="0.4">
      <c r="A18" s="25"/>
      <c r="B18" s="26" t="s">
        <v>15</v>
      </c>
      <c r="C18" s="27">
        <v>1950000</v>
      </c>
      <c r="D18" s="248">
        <v>1835000</v>
      </c>
      <c r="E18" s="85">
        <f>E29</f>
        <v>14865</v>
      </c>
      <c r="F18" s="85">
        <f>F29</f>
        <v>13300</v>
      </c>
      <c r="G18" s="253">
        <f>F18/E18</f>
        <v>0.8947191389169189</v>
      </c>
      <c r="H18" s="28">
        <f>C18/E18/10</f>
        <v>13.118062563067607</v>
      </c>
      <c r="I18" s="28">
        <f>D18/F18/10</f>
        <v>13.796992481203009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  <c r="Z18" s="171"/>
      <c r="AA18" s="171"/>
      <c r="AB18" s="171"/>
      <c r="AC18" s="171"/>
      <c r="AD18" s="171"/>
      <c r="AE18" s="171"/>
    </row>
    <row r="19" spans="1:31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</row>
    <row r="20" spans="1:31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</row>
    <row r="21" spans="1:31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  <c r="Z21" s="103"/>
      <c r="AA21" s="103"/>
      <c r="AB21" s="103"/>
      <c r="AC21" s="103"/>
      <c r="AD21" s="103"/>
      <c r="AE21" s="103"/>
    </row>
    <row r="22" spans="1:31" ht="15" customHeight="1" x14ac:dyDescent="0.3">
      <c r="A22" s="1"/>
      <c r="B22" s="42" t="s">
        <v>20</v>
      </c>
      <c r="C22" s="43">
        <v>165000</v>
      </c>
      <c r="D22" s="43">
        <v>130000</v>
      </c>
      <c r="E22" s="43">
        <v>2600</v>
      </c>
      <c r="F22" s="43">
        <v>2000</v>
      </c>
      <c r="G22" s="44">
        <f>E22/(E22+E25)</f>
        <v>0.16883116883116883</v>
      </c>
      <c r="H22" s="45">
        <f t="shared" ref="H22:I29" si="0">C22/E22/10</f>
        <v>6.3461538461538458</v>
      </c>
      <c r="I22" s="45">
        <f t="shared" si="0"/>
        <v>6.5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  <c r="Z22" s="103"/>
      <c r="AA22" s="103"/>
      <c r="AB22" s="103"/>
      <c r="AC22" s="103"/>
      <c r="AD22" s="103"/>
      <c r="AE22" s="103"/>
    </row>
    <row r="23" spans="1:31" ht="15" customHeight="1" x14ac:dyDescent="0.3">
      <c r="A23" s="1"/>
      <c r="B23" s="46" t="s">
        <v>21</v>
      </c>
      <c r="C23" s="43">
        <v>165000</v>
      </c>
      <c r="D23" s="43">
        <v>130000</v>
      </c>
      <c r="E23" s="43">
        <v>2600</v>
      </c>
      <c r="F23" s="43">
        <v>2000</v>
      </c>
      <c r="G23" s="47">
        <f>F23/E23</f>
        <v>0.76923076923076927</v>
      </c>
      <c r="H23" s="48">
        <f>C23/E23/10</f>
        <v>6.3461538461538458</v>
      </c>
      <c r="I23" s="48">
        <f>D23/F23/10</f>
        <v>6.5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  <c r="Z23" s="103"/>
      <c r="AA23" s="103"/>
      <c r="AB23" s="103"/>
      <c r="AC23" s="103"/>
      <c r="AD23" s="103"/>
      <c r="AE23" s="103"/>
    </row>
    <row r="24" spans="1:31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  <c r="Z24" s="103"/>
      <c r="AA24" s="103"/>
      <c r="AB24" s="103"/>
      <c r="AC24" s="103"/>
      <c r="AD24" s="103"/>
      <c r="AE24" s="103"/>
    </row>
    <row r="25" spans="1:31" ht="15" customHeight="1" x14ac:dyDescent="0.3">
      <c r="A25" s="50"/>
      <c r="B25" s="42" t="s">
        <v>25</v>
      </c>
      <c r="C25" s="43">
        <v>1600000</v>
      </c>
      <c r="D25" s="43">
        <v>1450000</v>
      </c>
      <c r="E25" s="43">
        <v>12800</v>
      </c>
      <c r="F25" s="43">
        <v>11300</v>
      </c>
      <c r="G25" s="44">
        <f>E25/(E22+E25)</f>
        <v>0.83116883116883122</v>
      </c>
      <c r="H25" s="45">
        <f t="shared" si="0"/>
        <v>12.5</v>
      </c>
      <c r="I25" s="45">
        <f t="shared" si="0"/>
        <v>12.831858407079645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  <c r="Z25" s="103"/>
      <c r="AA25" s="103"/>
      <c r="AB25" s="103"/>
      <c r="AC25" s="103"/>
      <c r="AD25" s="103"/>
      <c r="AE25" s="103"/>
    </row>
    <row r="26" spans="1:31" ht="15" customHeight="1" x14ac:dyDescent="0.3">
      <c r="A26" s="50"/>
      <c r="B26" s="46" t="s">
        <v>21</v>
      </c>
      <c r="C26" s="43">
        <v>365000</v>
      </c>
      <c r="D26" s="43">
        <v>365000</v>
      </c>
      <c r="E26" s="43">
        <v>2800</v>
      </c>
      <c r="F26" s="43">
        <v>2800</v>
      </c>
      <c r="G26" s="47">
        <f>F26/E26</f>
        <v>1</v>
      </c>
      <c r="H26" s="48">
        <f>C26/E26/10</f>
        <v>13.035714285714286</v>
      </c>
      <c r="I26" s="48">
        <f>D26/F26/10</f>
        <v>13.035714285714286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  <c r="Z26" s="103"/>
      <c r="AA26" s="103"/>
      <c r="AB26" s="103"/>
      <c r="AC26" s="103"/>
      <c r="AD26" s="103"/>
      <c r="AE26" s="103"/>
    </row>
    <row r="27" spans="1:31" ht="15" customHeight="1" x14ac:dyDescent="0.3">
      <c r="A27" s="51"/>
      <c r="B27" s="42" t="s">
        <v>26</v>
      </c>
      <c r="C27" s="43">
        <v>35000</v>
      </c>
      <c r="D27" s="43">
        <v>30000</v>
      </c>
      <c r="E27" s="43">
        <f>E25-E26</f>
        <v>10000</v>
      </c>
      <c r="F27" s="43">
        <f>F25-F26</f>
        <v>8500</v>
      </c>
      <c r="G27" s="47">
        <f>F27/E27</f>
        <v>0.85</v>
      </c>
      <c r="H27" s="45">
        <f>C27/E27/10</f>
        <v>0.35</v>
      </c>
      <c r="I27" s="45">
        <f>D27/F27/10</f>
        <v>0.3529411764705882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  <c r="Z27" s="103"/>
      <c r="AA27" s="103"/>
      <c r="AB27" s="103"/>
      <c r="AC27" s="103"/>
      <c r="AD27" s="103"/>
      <c r="AE27" s="103"/>
    </row>
    <row r="28" spans="1:31" s="30" customFormat="1" x14ac:dyDescent="0.35">
      <c r="A28" s="51"/>
      <c r="B28" s="52" t="s">
        <v>27</v>
      </c>
      <c r="C28" s="53">
        <v>-65000</v>
      </c>
      <c r="D28" s="54"/>
      <c r="E28" s="53">
        <v>-535</v>
      </c>
      <c r="F28" s="54"/>
      <c r="G28" s="55">
        <f>E28/(E22+E25)</f>
        <v>-3.4740259740259738E-2</v>
      </c>
      <c r="H28" s="56">
        <f t="shared" si="0"/>
        <v>12.149532710280374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  <c r="Z28" s="171"/>
      <c r="AA28" s="171"/>
      <c r="AB28" s="171"/>
      <c r="AC28" s="171"/>
      <c r="AD28" s="171"/>
      <c r="AE28" s="171"/>
    </row>
    <row r="29" spans="1:31" s="30" customFormat="1" ht="18" customHeight="1" x14ac:dyDescent="0.35">
      <c r="A29" s="51"/>
      <c r="B29" s="57" t="s">
        <v>28</v>
      </c>
      <c r="C29" s="54">
        <f>C22+C25+C27+C28</f>
        <v>1735000</v>
      </c>
      <c r="D29" s="54">
        <f>D22+D25+D27</f>
        <v>1610000</v>
      </c>
      <c r="E29" s="54">
        <f>E22+E25+E28</f>
        <v>14865</v>
      </c>
      <c r="F29" s="54">
        <f>F22+F25</f>
        <v>13300</v>
      </c>
      <c r="G29" s="55">
        <f>G22+G25+G28</f>
        <v>0.96525974025974026</v>
      </c>
      <c r="H29" s="56">
        <f t="shared" si="0"/>
        <v>11.67171207534477</v>
      </c>
      <c r="I29" s="56">
        <f t="shared" si="0"/>
        <v>12.105263157894736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  <c r="Z29" s="171"/>
      <c r="AA29" s="171"/>
      <c r="AB29" s="171"/>
      <c r="AC29" s="171"/>
      <c r="AD29" s="171"/>
      <c r="AE29" s="171"/>
    </row>
    <row r="30" spans="1:31" ht="15" customHeight="1" x14ac:dyDescent="0.3">
      <c r="A30" s="58"/>
      <c r="B30" s="59" t="s">
        <v>29</v>
      </c>
      <c r="C30" s="60">
        <v>55600</v>
      </c>
      <c r="D30" s="60">
        <v>51000</v>
      </c>
      <c r="E30" s="61"/>
      <c r="F30" s="61"/>
      <c r="G30" s="62"/>
      <c r="H30" s="63">
        <f>C30/E29/10</f>
        <v>0.37403296333669694</v>
      </c>
      <c r="I30" s="63">
        <f>D30/F29/10</f>
        <v>0.38345864661654139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  <c r="Z30" s="103"/>
      <c r="AA30" s="103"/>
      <c r="AB30" s="103"/>
      <c r="AC30" s="103"/>
      <c r="AD30" s="103"/>
      <c r="AE30" s="103"/>
    </row>
    <row r="31" spans="1:31" ht="15" customHeight="1" x14ac:dyDescent="0.3">
      <c r="B31" s="42" t="s">
        <v>30</v>
      </c>
      <c r="C31" s="64"/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  <c r="Z31" s="103"/>
      <c r="AA31" s="103"/>
      <c r="AB31" s="103"/>
      <c r="AC31" s="103"/>
      <c r="AD31" s="103"/>
      <c r="AE31" s="103"/>
    </row>
    <row r="32" spans="1:31" ht="15" customHeight="1" x14ac:dyDescent="0.3">
      <c r="A32" s="58"/>
      <c r="B32" s="42" t="s">
        <v>31</v>
      </c>
      <c r="C32" s="67"/>
      <c r="D32" s="43">
        <v>55000</v>
      </c>
      <c r="E32" s="67"/>
      <c r="F32" s="67"/>
      <c r="G32" s="68"/>
      <c r="H32" s="45">
        <f>C32/E29/10</f>
        <v>0</v>
      </c>
      <c r="I32" s="45">
        <f>D32/F29/10</f>
        <v>0.41353383458646614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  <c r="Z32" s="103"/>
      <c r="AA32" s="103"/>
      <c r="AB32" s="103"/>
      <c r="AC32" s="103"/>
      <c r="AD32" s="103"/>
      <c r="AE32" s="103"/>
    </row>
    <row r="33" spans="1:31" s="30" customFormat="1" ht="18" customHeight="1" x14ac:dyDescent="0.3">
      <c r="A33" s="25"/>
      <c r="B33" s="57" t="s">
        <v>32</v>
      </c>
      <c r="C33" s="54">
        <f>C29+C30+C31</f>
        <v>1790600</v>
      </c>
      <c r="D33" s="54">
        <f>D29+D30+D31+D32</f>
        <v>1716000</v>
      </c>
      <c r="E33" s="54">
        <f>E29</f>
        <v>14865</v>
      </c>
      <c r="F33" s="54">
        <f>F29</f>
        <v>13300</v>
      </c>
      <c r="G33" s="55">
        <f>G29</f>
        <v>0.96525974025974026</v>
      </c>
      <c r="H33" s="56">
        <f>C33/E33/10</f>
        <v>12.045745038681467</v>
      </c>
      <c r="I33" s="56">
        <f>D33/F33/10</f>
        <v>12.902255639097746</v>
      </c>
      <c r="J33" s="423" t="str">
        <f>IFERROR(VLOOKUP(N32,#REF!,4,FALSE),"")</f>
        <v/>
      </c>
      <c r="K33" s="424"/>
      <c r="L33" s="234"/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  <c r="Z33" s="171"/>
      <c r="AA33" s="171"/>
      <c r="AB33" s="171"/>
      <c r="AC33" s="171"/>
      <c r="AD33" s="171"/>
      <c r="AE33" s="171"/>
    </row>
    <row r="34" spans="1:31" ht="18" customHeight="1" thickBot="1" x14ac:dyDescent="0.35">
      <c r="A34" s="1"/>
      <c r="B34" s="69" t="s">
        <v>33</v>
      </c>
      <c r="C34" s="70"/>
      <c r="D34" s="71">
        <f>'DD Energie 2026'!F126</f>
        <v>-27497.352764380415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  <c r="Z34" s="103"/>
      <c r="AA34" s="103"/>
      <c r="AB34" s="103"/>
      <c r="AC34" s="103"/>
      <c r="AD34" s="103"/>
      <c r="AE34" s="103"/>
    </row>
    <row r="35" spans="1:31" ht="18" customHeight="1" thickBot="1" x14ac:dyDescent="0.35">
      <c r="B35" s="69" t="s">
        <v>34</v>
      </c>
      <c r="C35" s="74"/>
      <c r="D35" s="74">
        <f>D34+D33</f>
        <v>1688502.6472356196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  <c r="Z35" s="103"/>
      <c r="AA35" s="103"/>
      <c r="AB35" s="103"/>
      <c r="AC35" s="103"/>
      <c r="AD35" s="103"/>
      <c r="AE35" s="103"/>
    </row>
    <row r="36" spans="1:31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</row>
    <row r="37" spans="1:31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2027 (+ Überdeckung)</v>
      </c>
      <c r="C37" s="430"/>
      <c r="D37" s="77">
        <f>D18-D35</f>
        <v>146497.3527643804</v>
      </c>
      <c r="E37" s="440" t="str">
        <f>IF(D37=0,"",IF(D37&gt;0,"Dieser Betrag muss den Endkunden gutgeschrieben werden.","Dieser Betrag kann den Endkunden verrechnet werden."))</f>
        <v>Dieser Betrag muss den Endkunden gutgeschrieben werden.</v>
      </c>
      <c r="F37" s="441"/>
      <c r="G37" s="441"/>
      <c r="H37" s="441"/>
      <c r="I37" s="441"/>
      <c r="J37" s="441"/>
      <c r="K37" s="442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  <c r="Z37" s="171"/>
      <c r="AA37" s="171"/>
      <c r="AB37" s="171"/>
      <c r="AC37" s="171"/>
      <c r="AD37" s="171"/>
      <c r="AE37" s="171"/>
    </row>
    <row r="38" spans="1:31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  <c r="Z38" s="103"/>
      <c r="AA38" s="103"/>
      <c r="AB38" s="103"/>
      <c r="AC38" s="103"/>
      <c r="AD38" s="103"/>
      <c r="AE38" s="103"/>
    </row>
    <row r="39" spans="1:31" x14ac:dyDescent="0.3">
      <c r="A39" s="1"/>
      <c r="B39" s="12"/>
      <c r="C39" s="49"/>
      <c r="D39" s="49"/>
      <c r="E39" s="32"/>
      <c r="F39" s="31"/>
      <c r="G39" s="31"/>
      <c r="H39" s="31"/>
      <c r="I39" s="312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  <c r="Z39" s="103"/>
      <c r="AA39" s="103"/>
      <c r="AB39" s="103"/>
      <c r="AC39" s="103"/>
      <c r="AD39" s="103"/>
      <c r="AE39" s="103"/>
    </row>
    <row r="40" spans="1:31" ht="15.5" x14ac:dyDescent="0.35">
      <c r="A40" s="1"/>
      <c r="B40" s="3" t="s">
        <v>35</v>
      </c>
      <c r="C40" s="49"/>
      <c r="D40" s="49"/>
      <c r="E40" s="32"/>
      <c r="F40" s="31"/>
      <c r="G40" s="49"/>
      <c r="H40" s="49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  <c r="Z40" s="103"/>
      <c r="AA40" s="103"/>
      <c r="AB40" s="103"/>
      <c r="AC40" s="103"/>
      <c r="AD40" s="103"/>
      <c r="AE40" s="103"/>
    </row>
    <row r="41" spans="1:31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  <c r="Z41" s="103"/>
      <c r="AA41" s="103"/>
      <c r="AB41" s="103"/>
      <c r="AC41" s="103"/>
      <c r="AD41" s="103"/>
      <c r="AE41" s="103"/>
    </row>
    <row r="42" spans="1:31" s="30" customFormat="1" ht="18" customHeight="1" thickBot="1" x14ac:dyDescent="0.4">
      <c r="A42" s="25"/>
      <c r="B42" s="159" t="s">
        <v>39</v>
      </c>
      <c r="C42" s="330"/>
      <c r="D42" s="390">
        <v>0</v>
      </c>
      <c r="E42" s="431"/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  <c r="Z42" s="171"/>
      <c r="AA42" s="171"/>
      <c r="AB42" s="171"/>
      <c r="AC42" s="171"/>
      <c r="AD42" s="171"/>
      <c r="AE42" s="171"/>
    </row>
    <row r="43" spans="1:31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  <c r="Z43" s="103"/>
      <c r="AA43" s="103"/>
      <c r="AB43" s="103"/>
      <c r="AC43" s="103"/>
      <c r="AD43" s="103"/>
      <c r="AE43" s="103"/>
    </row>
    <row r="44" spans="1:31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  <c r="Z44" s="103"/>
      <c r="AA44" s="103"/>
      <c r="AB44" s="103"/>
      <c r="AC44" s="103"/>
      <c r="AD44" s="103"/>
      <c r="AE44" s="103"/>
    </row>
    <row r="45" spans="1:31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  <c r="Z45" s="103"/>
      <c r="AA45" s="103"/>
      <c r="AB45" s="103"/>
      <c r="AC45" s="103"/>
      <c r="AD45" s="103"/>
      <c r="AE45" s="103"/>
    </row>
    <row r="46" spans="1:31" s="84" customFormat="1" ht="15" customHeight="1" x14ac:dyDescent="0.35">
      <c r="A46" s="83"/>
      <c r="B46" s="434" t="s">
        <v>81</v>
      </c>
      <c r="C46" s="435"/>
      <c r="D46" s="315"/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  <c r="Z46" s="171"/>
      <c r="AA46" s="171"/>
      <c r="AB46" s="171"/>
      <c r="AC46" s="171"/>
      <c r="AD46" s="171"/>
      <c r="AE46" s="171"/>
    </row>
    <row r="47" spans="1:31" s="84" customFormat="1" ht="15" customHeight="1" x14ac:dyDescent="0.35">
      <c r="A47" s="83"/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  <c r="Z47" s="171"/>
      <c r="AA47" s="171"/>
      <c r="AB47" s="171"/>
      <c r="AC47" s="171"/>
      <c r="AD47" s="171"/>
      <c r="AE47" s="171"/>
    </row>
    <row r="48" spans="1:31" s="84" customFormat="1" ht="15" customHeight="1" thickBot="1" x14ac:dyDescent="0.4">
      <c r="A48" s="83"/>
      <c r="B48" s="468" t="s">
        <v>42</v>
      </c>
      <c r="C48" s="469"/>
      <c r="D48" s="287">
        <f>SUM(D46:D47)</f>
        <v>0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  <c r="Z48" s="171"/>
      <c r="AA48" s="171"/>
      <c r="AB48" s="171"/>
      <c r="AC48" s="171"/>
      <c r="AD48" s="171"/>
      <c r="AE48" s="171"/>
    </row>
    <row r="49" spans="1:31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  <c r="Z49" s="103"/>
      <c r="AA49" s="103"/>
      <c r="AB49" s="103"/>
      <c r="AC49" s="103"/>
      <c r="AD49" s="103"/>
      <c r="AE49" s="103"/>
    </row>
    <row r="50" spans="1:31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  <c r="Z50" s="103"/>
      <c r="AA50" s="103"/>
      <c r="AB50" s="103"/>
      <c r="AC50" s="103"/>
      <c r="AD50" s="103"/>
      <c r="AE50" s="103"/>
    </row>
    <row r="51" spans="1:31" s="84" customFormat="1" ht="15" customHeight="1" thickBot="1" x14ac:dyDescent="0.4">
      <c r="A51" s="83"/>
      <c r="B51" s="449" t="s">
        <v>44</v>
      </c>
      <c r="C51" s="450"/>
      <c r="D51" s="89">
        <f>D37+D42+D48</f>
        <v>146497.3527643804</v>
      </c>
      <c r="E51" s="451" t="str">
        <f>IF(D51=0,"",IF(D51&gt;0,"Dieser Betrag muss den Endkunden gutgeschrieben werden.","Dieser Betrag kann den Endkunden verrechnet werden."))</f>
        <v>Dieser Betrag muss den Endkunden gutgeschrieben werden.</v>
      </c>
      <c r="F51" s="452"/>
      <c r="G51" s="452"/>
      <c r="H51" s="452"/>
      <c r="I51" s="452"/>
      <c r="J51" s="452"/>
      <c r="K51" s="45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  <c r="Z51" s="171"/>
      <c r="AA51" s="171"/>
      <c r="AB51" s="171"/>
      <c r="AC51" s="171"/>
      <c r="AD51" s="171"/>
      <c r="AE51" s="171"/>
    </row>
    <row r="52" spans="1:31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</row>
    <row r="53" spans="1:31" s="84" customFormat="1" ht="9" customHeight="1" x14ac:dyDescent="0.35">
      <c r="B53" s="92"/>
      <c r="C53" s="93"/>
      <c r="D53" s="93"/>
      <c r="E53" s="463"/>
      <c r="F53" s="464"/>
      <c r="G53" s="464"/>
      <c r="H53" s="464"/>
      <c r="I53" s="464"/>
      <c r="J53" s="464"/>
      <c r="K53" s="464"/>
      <c r="L53" s="239"/>
      <c r="M53" s="239"/>
      <c r="N53" s="240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</row>
    <row r="54" spans="1:31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</row>
    <row r="55" spans="1:31" s="11" customFormat="1" ht="15" customHeight="1" thickBot="1" x14ac:dyDescent="0.3">
      <c r="A55" s="10"/>
      <c r="B55" s="429" t="s">
        <v>159</v>
      </c>
      <c r="C55" s="457"/>
      <c r="D55" s="163">
        <v>2.65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  <c r="Z55" s="241"/>
      <c r="AA55" s="241"/>
      <c r="AB55" s="241"/>
      <c r="AC55" s="241"/>
      <c r="AD55" s="241"/>
      <c r="AE55" s="241"/>
    </row>
    <row r="56" spans="1:31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</row>
    <row r="57" spans="1:31" s="84" customFormat="1" ht="15" customHeight="1" x14ac:dyDescent="0.35">
      <c r="B57" s="90"/>
      <c r="C57" s="98"/>
      <c r="D57" s="91"/>
      <c r="E57" s="463"/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</row>
    <row r="58" spans="1:31" s="84" customFormat="1" ht="1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</row>
    <row r="59" spans="1:31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</row>
    <row r="60" spans="1:31" x14ac:dyDescent="0.3"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</row>
    <row r="62" spans="1:31" s="176" customFormat="1" ht="28.5" customHeight="1" x14ac:dyDescent="0.3">
      <c r="A62" s="99" t="s">
        <v>147</v>
      </c>
      <c r="B62" s="174"/>
      <c r="C62" s="174"/>
      <c r="D62" s="174"/>
      <c r="E62" s="174"/>
      <c r="F62" s="174"/>
      <c r="G62" s="174"/>
      <c r="H62" s="174"/>
      <c r="I62" s="175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2"/>
    </row>
    <row r="63" spans="1:31" s="102" customFormat="1" ht="13" customHeight="1" x14ac:dyDescent="0.35">
      <c r="A63" s="170"/>
      <c r="I63" s="173"/>
    </row>
    <row r="64" spans="1:31" ht="28.5" x14ac:dyDescent="0.35">
      <c r="A64" s="162"/>
      <c r="B64" s="283" t="s">
        <v>144</v>
      </c>
      <c r="G64" s="103"/>
      <c r="H64" s="103"/>
      <c r="I64" s="164" t="s">
        <v>82</v>
      </c>
      <c r="J64" s="103"/>
      <c r="M64" s="164" t="s">
        <v>99</v>
      </c>
      <c r="N64" s="103"/>
      <c r="P64" s="194"/>
      <c r="Q64" s="164" t="s">
        <v>84</v>
      </c>
      <c r="R64" s="103"/>
      <c r="T64" s="194"/>
      <c r="U64" s="164" t="s">
        <v>86</v>
      </c>
    </row>
    <row r="65" spans="1:24" ht="17.5" x14ac:dyDescent="0.35">
      <c r="A65" s="162"/>
      <c r="F65" s="14">
        <v>4</v>
      </c>
      <c r="G65" s="103"/>
      <c r="H65" s="103"/>
      <c r="I65" s="103"/>
      <c r="J65" s="103"/>
      <c r="M65" s="103"/>
      <c r="N65" s="103"/>
      <c r="P65" s="194"/>
      <c r="Q65" s="103"/>
      <c r="R65" s="103"/>
      <c r="S65" s="103"/>
      <c r="T65" s="194"/>
      <c r="U65" s="9"/>
    </row>
    <row r="66" spans="1:24" ht="14.5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M66" s="103"/>
      <c r="N66" s="254" t="s">
        <v>116</v>
      </c>
      <c r="O66" s="103"/>
      <c r="P66" s="194"/>
      <c r="Q66" s="103"/>
      <c r="R66" s="254" t="s">
        <v>116</v>
      </c>
      <c r="S66" s="103"/>
      <c r="T66" s="194"/>
      <c r="U66" s="9"/>
    </row>
    <row r="67" spans="1:24" ht="16" thickBot="1" x14ac:dyDescent="0.4">
      <c r="B67" s="3" t="s">
        <v>149</v>
      </c>
      <c r="C67" s="81">
        <v>1</v>
      </c>
      <c r="D67" s="14">
        <v>2</v>
      </c>
      <c r="E67" s="14">
        <v>3</v>
      </c>
      <c r="F67" s="193">
        <f>'DD Energie 2024'!F67</f>
        <v>3.98</v>
      </c>
      <c r="G67" s="106">
        <v>5</v>
      </c>
      <c r="H67" s="106">
        <v>6</v>
      </c>
      <c r="I67" s="106">
        <v>7</v>
      </c>
      <c r="J67" s="193">
        <f>'DD Energie 2024'!J67</f>
        <v>3.98</v>
      </c>
      <c r="K67" s="103"/>
      <c r="L67" s="14">
        <v>8</v>
      </c>
      <c r="M67" s="103"/>
      <c r="N67" s="193">
        <f>'DD Energie 2025'!N67</f>
        <v>4.13</v>
      </c>
      <c r="O67" s="103"/>
      <c r="P67" s="194"/>
      <c r="Q67" s="103"/>
      <c r="R67" s="193">
        <f>'DD Energie 2026'!R67</f>
        <v>3.5</v>
      </c>
      <c r="S67" s="9"/>
      <c r="T67" s="9"/>
      <c r="U67" s="9"/>
      <c r="V67" s="14"/>
      <c r="W67" s="104"/>
    </row>
    <row r="68" spans="1:24" ht="25.5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x14ac:dyDescent="0.3">
      <c r="A69" s="114"/>
      <c r="B69" s="461"/>
      <c r="C69" s="115" t="s">
        <v>80</v>
      </c>
      <c r="D69" s="198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8" customHeight="1" thickBot="1" x14ac:dyDescent="0.35">
      <c r="B71" s="126" t="s">
        <v>119</v>
      </c>
      <c r="C71" s="195">
        <f>'DD Energie 2024'!C71</f>
        <v>6000</v>
      </c>
      <c r="D71" s="195">
        <f>'DD Energie 2024'!D71</f>
        <v>-1000</v>
      </c>
      <c r="E71" s="195">
        <f>'DD Energie 2024'!E71</f>
        <v>5000</v>
      </c>
      <c r="F71" s="195">
        <f>'DD Energie 2024'!F71</f>
        <v>199</v>
      </c>
      <c r="G71" s="195">
        <f>'DD Energie 2024'!G71</f>
        <v>5199</v>
      </c>
      <c r="H71" s="195">
        <f>'DD Energie 2024'!H71</f>
        <v>-2000</v>
      </c>
      <c r="I71" s="205">
        <f>'DD Energie 2024'!I71</f>
        <v>3199</v>
      </c>
      <c r="J71" s="169">
        <f>'DD Energie 2024'!J71</f>
        <v>127.3202</v>
      </c>
      <c r="K71" s="147">
        <f>'DD Energie 2024'!K71</f>
        <v>3326.3202000000001</v>
      </c>
      <c r="L71" s="147">
        <f>'DD Energie 2024'!L71</f>
        <v>-1159</v>
      </c>
      <c r="M71" s="205">
        <f>'DD Energie 2024'!M71</f>
        <v>2167.3202000000001</v>
      </c>
      <c r="N71" s="169">
        <f>'DD Energie 2025'!N71</f>
        <v>89.51032425999999</v>
      </c>
      <c r="O71" s="147">
        <f>'DD Energie 2025'!O71</f>
        <v>2256.8305242599999</v>
      </c>
      <c r="P71" s="147">
        <f>'DD Energie 2025'!P71</f>
        <v>-1126.7897719800001</v>
      </c>
      <c r="Q71" s="210">
        <f>'DD Energie 2025'!Q71</f>
        <v>1130.0407522799999</v>
      </c>
      <c r="R71" s="169">
        <f>'DD Energie 2026'!R71</f>
        <v>39.551426329800002</v>
      </c>
      <c r="S71" s="147">
        <f>'DD Energie 2026'!S71</f>
        <v>1169.5921786097999</v>
      </c>
      <c r="T71" s="196">
        <f>'DD Energie 2026'!T71</f>
        <v>-1176.7114353491638</v>
      </c>
      <c r="U71" s="281">
        <f>'DD Energie 2026'!U71+'DD Energie 2026'!G131</f>
        <v>0</v>
      </c>
      <c r="V71" s="154"/>
    </row>
    <row r="72" spans="1:24" x14ac:dyDescent="0.3">
      <c r="B72" s="188" t="s">
        <v>91</v>
      </c>
      <c r="D72" s="151"/>
      <c r="E72" s="31"/>
      <c r="F72" s="31"/>
      <c r="J72" s="31"/>
      <c r="K72" s="172"/>
      <c r="L72" s="172"/>
      <c r="P72" s="192">
        <f>'DD Energie 2025'!P72</f>
        <v>0</v>
      </c>
      <c r="Q72" s="167"/>
      <c r="T72" s="192">
        <f>'DD Energie 2026'!T72</f>
        <v>0</v>
      </c>
      <c r="U72" s="257"/>
    </row>
    <row r="73" spans="1:24" ht="24.75" customHeight="1" x14ac:dyDescent="0.3"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264"/>
    </row>
    <row r="74" spans="1:24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263"/>
    </row>
    <row r="75" spans="1:24" s="102" customFormat="1" ht="28.5" customHeight="1" x14ac:dyDescent="0.35">
      <c r="A75" s="99" t="s">
        <v>148</v>
      </c>
      <c r="B75" s="100"/>
      <c r="C75" s="100"/>
      <c r="D75" s="100"/>
      <c r="E75" s="100"/>
      <c r="F75" s="100"/>
      <c r="G75" s="100"/>
      <c r="H75" s="101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4" s="102" customFormat="1" ht="14.9" customHeight="1" x14ac:dyDescent="0.35">
      <c r="A76" s="177"/>
      <c r="G76" s="173"/>
    </row>
    <row r="77" spans="1:24" s="102" customFormat="1" ht="28.5" customHeight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100</v>
      </c>
      <c r="Q77" s="164" t="s">
        <v>87</v>
      </c>
    </row>
    <row r="78" spans="1:24" s="84" customFormat="1" ht="15" customHeight="1" x14ac:dyDescent="0.3">
      <c r="B78" s="90"/>
      <c r="C78" s="90"/>
      <c r="D78" s="465"/>
      <c r="E78" s="135"/>
      <c r="F78" s="224"/>
      <c r="G78" s="95"/>
      <c r="H78" s="183"/>
      <c r="I78" s="95"/>
      <c r="J78" s="224"/>
      <c r="K78" s="95"/>
      <c r="N78" s="224"/>
    </row>
    <row r="79" spans="1:24" ht="14.5" thickBot="1" x14ac:dyDescent="0.35">
      <c r="B79" s="31"/>
      <c r="C79" s="180"/>
      <c r="D79" s="254" t="s">
        <v>116</v>
      </c>
      <c r="E79" s="31"/>
      <c r="F79" s="254" t="s">
        <v>116</v>
      </c>
      <c r="G79" s="31"/>
      <c r="J79" s="254" t="s">
        <v>116</v>
      </c>
      <c r="N79" s="254" t="s">
        <v>116</v>
      </c>
    </row>
    <row r="80" spans="1:24" ht="16" thickBot="1" x14ac:dyDescent="0.4">
      <c r="A80" s="136"/>
      <c r="B80" s="3" t="s">
        <v>66</v>
      </c>
      <c r="C80" s="14"/>
      <c r="D80" s="193">
        <f>'DD Energie 2024'!$D$81</f>
        <v>2.25</v>
      </c>
      <c r="E80" s="14"/>
      <c r="F80" s="193">
        <f>'DD Energie 2025'!F81</f>
        <v>2.25</v>
      </c>
      <c r="G80" s="31"/>
      <c r="H80" s="184"/>
      <c r="I80" s="14"/>
      <c r="J80" s="193">
        <f>'DD Energie 2026'!$J$81</f>
        <v>2.25</v>
      </c>
      <c r="K80" s="137"/>
      <c r="L80" s="137"/>
      <c r="M80" s="137"/>
      <c r="N80" s="96">
        <f>D55</f>
        <v>2.65</v>
      </c>
      <c r="O80" s="14"/>
      <c r="P80" s="14"/>
      <c r="Q80" s="14"/>
      <c r="R80" s="14"/>
    </row>
    <row r="81" spans="1:19" s="103" customFormat="1" ht="28.4" customHeight="1" x14ac:dyDescent="0.3">
      <c r="A81" s="136"/>
      <c r="B81" s="460"/>
      <c r="C81" s="138" t="s">
        <v>46</v>
      </c>
      <c r="D81" s="111" t="s">
        <v>48</v>
      </c>
      <c r="E81" s="245" t="s">
        <v>106</v>
      </c>
      <c r="F81" s="110" t="s">
        <v>48</v>
      </c>
      <c r="G81" s="111" t="s">
        <v>106</v>
      </c>
      <c r="H81" s="112" t="s">
        <v>51</v>
      </c>
      <c r="I81" s="207" t="s">
        <v>61</v>
      </c>
      <c r="J81" s="110" t="s">
        <v>48</v>
      </c>
      <c r="K81" s="111" t="s">
        <v>106</v>
      </c>
      <c r="L81" s="112" t="s">
        <v>51</v>
      </c>
      <c r="M81" s="207" t="s">
        <v>52</v>
      </c>
      <c r="N81" s="110" t="s">
        <v>48</v>
      </c>
      <c r="O81" s="111" t="s">
        <v>106</v>
      </c>
      <c r="P81" s="150" t="s">
        <v>51</v>
      </c>
      <c r="Q81" s="156" t="s">
        <v>154</v>
      </c>
      <c r="R81" s="113"/>
    </row>
    <row r="82" spans="1:19" s="103" customFormat="1" ht="14.25" customHeight="1" x14ac:dyDescent="0.3">
      <c r="A82" s="136"/>
      <c r="B82" s="461"/>
      <c r="C82" s="139" t="s">
        <v>107</v>
      </c>
      <c r="D82" s="124" t="s">
        <v>55</v>
      </c>
      <c r="E82" s="211" t="s">
        <v>58</v>
      </c>
      <c r="F82" s="123" t="s">
        <v>55</v>
      </c>
      <c r="G82" s="124" t="s">
        <v>59</v>
      </c>
      <c r="H82" s="121" t="str">
        <f>"Tarife "&amp; C8-1</f>
        <v>Tarife 2026</v>
      </c>
      <c r="I82" s="213" t="s">
        <v>57</v>
      </c>
      <c r="J82" s="123" t="s">
        <v>55</v>
      </c>
      <c r="K82" s="124" t="s">
        <v>60</v>
      </c>
      <c r="L82" s="121" t="str">
        <f>"Tarife "&amp; C8</f>
        <v>Tarife 2027</v>
      </c>
      <c r="M82" s="213" t="s">
        <v>57</v>
      </c>
      <c r="N82" s="123" t="s">
        <v>55</v>
      </c>
      <c r="O82" s="124" t="s">
        <v>62</v>
      </c>
      <c r="P82" s="152" t="str">
        <f>"Tarife "&amp; C8+1</f>
        <v>Tarife 2028</v>
      </c>
      <c r="Q82" s="157" t="s">
        <v>53</v>
      </c>
      <c r="R82" s="122"/>
    </row>
    <row r="83" spans="1:19" s="103" customFormat="1" ht="14.25" customHeight="1" x14ac:dyDescent="0.3">
      <c r="A83" s="136"/>
      <c r="B83" s="461"/>
      <c r="C83" s="139"/>
      <c r="D83" s="124"/>
      <c r="E83" s="211"/>
      <c r="F83" s="123"/>
      <c r="G83" s="124"/>
      <c r="H83" s="121" t="s">
        <v>63</v>
      </c>
      <c r="I83" s="213"/>
      <c r="J83" s="123"/>
      <c r="K83" s="124"/>
      <c r="L83" s="121" t="s">
        <v>64</v>
      </c>
      <c r="M83" s="213"/>
      <c r="N83" s="123"/>
      <c r="O83" s="124"/>
      <c r="P83" s="152" t="s">
        <v>65</v>
      </c>
      <c r="Q83" s="158"/>
      <c r="R83" s="122"/>
    </row>
    <row r="84" spans="1:19" s="103" customFormat="1" ht="14.25" customHeight="1" thickBot="1" x14ac:dyDescent="0.35">
      <c r="A84" s="136"/>
      <c r="B84" s="461"/>
      <c r="C84" s="139" t="s">
        <v>38</v>
      </c>
      <c r="D84" s="124" t="s">
        <v>38</v>
      </c>
      <c r="E84" s="211" t="s">
        <v>38</v>
      </c>
      <c r="F84" s="123" t="s">
        <v>38</v>
      </c>
      <c r="G84" s="124" t="s">
        <v>38</v>
      </c>
      <c r="H84" s="121" t="s">
        <v>38</v>
      </c>
      <c r="I84" s="213" t="s">
        <v>38</v>
      </c>
      <c r="J84" s="123" t="s">
        <v>38</v>
      </c>
      <c r="K84" s="124" t="s">
        <v>38</v>
      </c>
      <c r="L84" s="121" t="s">
        <v>38</v>
      </c>
      <c r="M84" s="213" t="s">
        <v>38</v>
      </c>
      <c r="N84" s="123" t="s">
        <v>38</v>
      </c>
      <c r="O84" s="124" t="s">
        <v>38</v>
      </c>
      <c r="P84" s="152" t="s">
        <v>38</v>
      </c>
      <c r="Q84" s="158" t="s">
        <v>38</v>
      </c>
      <c r="R84" s="125" t="s">
        <v>14</v>
      </c>
    </row>
    <row r="85" spans="1:19" s="171" customFormat="1" ht="28" customHeight="1" thickBot="1" x14ac:dyDescent="0.35">
      <c r="A85" s="103"/>
      <c r="B85" s="182" t="str">
        <f>"Übersicht DD 2024 bis Abbau Null "</f>
        <v xml:space="preserve">Übersicht DD 2024 bis Abbau Null </v>
      </c>
      <c r="C85" s="189">
        <f>'DD Energie 2024'!C86</f>
        <v>-36000</v>
      </c>
      <c r="D85" s="189">
        <f>'DD Energie 2024'!D86</f>
        <v>-810</v>
      </c>
      <c r="E85" s="212">
        <f>'DD Energie 2024'!E86</f>
        <v>-36810</v>
      </c>
      <c r="F85" s="169">
        <f>'DD Energie 2025'!F86</f>
        <v>-828.22500000000002</v>
      </c>
      <c r="G85" s="147">
        <f>'DD Energie 2025'!G86</f>
        <v>-37638.224999999999</v>
      </c>
      <c r="H85" s="191">
        <f>'DD Energie 2025'!H86</f>
        <v>9420.0283541666668</v>
      </c>
      <c r="I85" s="210">
        <f>'DD Energie 2025'!I86</f>
        <v>-18218.196645833334</v>
      </c>
      <c r="J85" s="169">
        <f>'DD Energie 2026'!J86</f>
        <v>-409.90942453125001</v>
      </c>
      <c r="K85" s="147">
        <f>'DD Energie 2026'!K86</f>
        <v>-18628.106070364585</v>
      </c>
      <c r="L85" s="191">
        <f>'DD Energie 2026'!L86</f>
        <v>9314.0530351822927</v>
      </c>
      <c r="M85" s="205">
        <f>'DD Energie 2026'!M86</f>
        <v>-9314.0530351822927</v>
      </c>
      <c r="N85" s="169">
        <f>M85*(N80/100)</f>
        <v>-246.82240543233075</v>
      </c>
      <c r="O85" s="147">
        <f>N85+M85</f>
        <v>-9560.8754406146236</v>
      </c>
      <c r="P85" s="196">
        <f>'DD Energie 2026'!P86</f>
        <v>9523.6192284738936</v>
      </c>
      <c r="Q85" s="281">
        <f>O85+P85+P86+Q86</f>
        <v>-7.1214072998770916E-4</v>
      </c>
      <c r="R85" s="214"/>
    </row>
    <row r="86" spans="1:19" x14ac:dyDescent="0.3">
      <c r="B86" s="188" t="s">
        <v>91</v>
      </c>
      <c r="C86" s="151"/>
      <c r="D86" s="31"/>
      <c r="F86" s="31"/>
      <c r="G86" s="31"/>
      <c r="H86" s="306">
        <f>'DD Energie 2025'!H87</f>
        <v>10000</v>
      </c>
      <c r="I86" s="151"/>
      <c r="L86" s="192">
        <f>'DD Energie 2026'!L87</f>
        <v>0</v>
      </c>
      <c r="P86" s="192">
        <f>'DD Energie 2026'!P87</f>
        <v>0</v>
      </c>
      <c r="Q86" s="252">
        <v>37.255499999999998</v>
      </c>
      <c r="R86" s="333">
        <f>O85+P85+P86</f>
        <v>-37.256212140729986</v>
      </c>
      <c r="S86" s="171"/>
    </row>
    <row r="87" spans="1:19" ht="24.75" customHeight="1" x14ac:dyDescent="0.3">
      <c r="H87" s="186" t="s">
        <v>93</v>
      </c>
      <c r="I87" s="185"/>
      <c r="L87" s="186" t="s">
        <v>93</v>
      </c>
      <c r="P87" s="186" t="s">
        <v>93</v>
      </c>
      <c r="Q87" s="186" t="s">
        <v>93</v>
      </c>
    </row>
    <row r="88" spans="1:19" x14ac:dyDescent="0.3">
      <c r="H88" s="190"/>
      <c r="I88" s="185"/>
      <c r="L88" s="190"/>
      <c r="P88" s="190"/>
    </row>
    <row r="89" spans="1:19" x14ac:dyDescent="0.3">
      <c r="H89" s="190"/>
      <c r="I89" s="185"/>
      <c r="L89" s="190"/>
      <c r="P89" s="190"/>
    </row>
    <row r="90" spans="1:19" ht="15" customHeight="1" x14ac:dyDescent="0.3">
      <c r="H90" s="131"/>
      <c r="L90" s="131"/>
      <c r="P90" s="131"/>
    </row>
    <row r="91" spans="1:19" s="19" customFormat="1" ht="33" customHeight="1" x14ac:dyDescent="0.3">
      <c r="A91" s="178"/>
      <c r="B91" s="283" t="s">
        <v>144</v>
      </c>
      <c r="C91" s="141"/>
      <c r="E91" s="164" t="s">
        <v>103</v>
      </c>
      <c r="F91" s="104"/>
      <c r="I91" s="164" t="s">
        <v>86</v>
      </c>
      <c r="M91" s="164" t="s">
        <v>101</v>
      </c>
      <c r="Q91" s="164" t="s">
        <v>88</v>
      </c>
    </row>
    <row r="92" spans="1:19" s="19" customFormat="1" ht="26.9" customHeight="1" x14ac:dyDescent="0.3">
      <c r="A92" s="2"/>
      <c r="C92" s="141"/>
      <c r="F92" s="194"/>
      <c r="J92" s="194"/>
      <c r="N92" s="251" t="s">
        <v>137</v>
      </c>
    </row>
    <row r="93" spans="1:19" ht="14.5" thickBot="1" x14ac:dyDescent="0.35">
      <c r="B93" s="31"/>
      <c r="C93" s="180"/>
      <c r="D93" s="254" t="s">
        <v>116</v>
      </c>
      <c r="E93" s="31"/>
      <c r="F93" s="254" t="s">
        <v>116</v>
      </c>
      <c r="G93" s="31"/>
      <c r="J93" s="254" t="s">
        <v>116</v>
      </c>
      <c r="N93" s="254" t="s">
        <v>116</v>
      </c>
    </row>
    <row r="94" spans="1:19" s="19" customFormat="1" ht="16" thickBot="1" x14ac:dyDescent="0.4">
      <c r="A94" s="18"/>
      <c r="B94" s="3" t="s">
        <v>68</v>
      </c>
      <c r="C94" s="14"/>
      <c r="D94" s="193">
        <f>'DD Energie 2025'!D95</f>
        <v>2.25</v>
      </c>
      <c r="E94" s="14"/>
      <c r="F94" s="193">
        <f>'DD Energie 2026'!F95</f>
        <v>2.25</v>
      </c>
      <c r="G94" s="31"/>
      <c r="H94" s="184"/>
      <c r="I94" s="14"/>
      <c r="J94" s="96">
        <f>D55</f>
        <v>2.65</v>
      </c>
      <c r="K94" s="137"/>
      <c r="L94" s="137"/>
      <c r="M94" s="137"/>
      <c r="N94" s="96">
        <f>J94</f>
        <v>2.65</v>
      </c>
      <c r="O94" s="18"/>
      <c r="P94" s="18"/>
      <c r="Q94" s="18"/>
      <c r="R94" s="14"/>
      <c r="S94" s="18"/>
    </row>
    <row r="95" spans="1:19" ht="25.5" x14ac:dyDescent="0.3">
      <c r="B95" s="460"/>
      <c r="C95" s="138" t="s">
        <v>46</v>
      </c>
      <c r="D95" s="111" t="s">
        <v>48</v>
      </c>
      <c r="E95" s="245" t="s">
        <v>106</v>
      </c>
      <c r="F95" s="110" t="s">
        <v>48</v>
      </c>
      <c r="G95" s="111" t="s">
        <v>106</v>
      </c>
      <c r="H95" s="112" t="s">
        <v>51</v>
      </c>
      <c r="I95" s="207" t="s">
        <v>52</v>
      </c>
      <c r="J95" s="110" t="s">
        <v>48</v>
      </c>
      <c r="K95" s="111" t="s">
        <v>106</v>
      </c>
      <c r="L95" s="112" t="s">
        <v>51</v>
      </c>
      <c r="M95" s="207" t="s">
        <v>52</v>
      </c>
      <c r="N95" s="110" t="s">
        <v>48</v>
      </c>
      <c r="O95" s="111" t="s">
        <v>106</v>
      </c>
      <c r="P95" s="150" t="s">
        <v>51</v>
      </c>
      <c r="Q95" s="156" t="s">
        <v>154</v>
      </c>
      <c r="R95" s="113"/>
    </row>
    <row r="96" spans="1:19" x14ac:dyDescent="0.3">
      <c r="B96" s="461"/>
      <c r="C96" s="139" t="s">
        <v>108</v>
      </c>
      <c r="D96" s="124" t="s">
        <v>55</v>
      </c>
      <c r="E96" s="211" t="s">
        <v>59</v>
      </c>
      <c r="F96" s="123" t="s">
        <v>55</v>
      </c>
      <c r="G96" s="124" t="s">
        <v>60</v>
      </c>
      <c r="H96" s="121" t="str">
        <f>"Tarife "&amp; C8</f>
        <v>Tarife 2027</v>
      </c>
      <c r="I96" s="213" t="s">
        <v>57</v>
      </c>
      <c r="J96" s="123" t="s">
        <v>55</v>
      </c>
      <c r="K96" s="124" t="s">
        <v>62</v>
      </c>
      <c r="L96" s="121" t="str">
        <f>"Tarife "&amp; C8+1</f>
        <v>Tarife 2028</v>
      </c>
      <c r="M96" s="213" t="s">
        <v>57</v>
      </c>
      <c r="N96" s="123" t="s">
        <v>55</v>
      </c>
      <c r="O96" s="124" t="s">
        <v>67</v>
      </c>
      <c r="P96" s="152" t="str">
        <f>"Tarife "&amp; C8+2</f>
        <v>Tarife 2029</v>
      </c>
      <c r="Q96" s="157" t="s">
        <v>53</v>
      </c>
      <c r="R96" s="122"/>
    </row>
    <row r="97" spans="1:18" x14ac:dyDescent="0.3">
      <c r="B97" s="461"/>
      <c r="C97" s="139"/>
      <c r="D97" s="124"/>
      <c r="E97" s="211"/>
      <c r="F97" s="123"/>
      <c r="G97" s="124"/>
      <c r="H97" s="121" t="s">
        <v>63</v>
      </c>
      <c r="I97" s="213"/>
      <c r="J97" s="123"/>
      <c r="K97" s="124"/>
      <c r="L97" s="121" t="s">
        <v>64</v>
      </c>
      <c r="M97" s="213"/>
      <c r="N97" s="123"/>
      <c r="O97" s="124"/>
      <c r="P97" s="152" t="s">
        <v>65</v>
      </c>
      <c r="Q97" s="158"/>
      <c r="R97" s="122"/>
    </row>
    <row r="98" spans="1:18" ht="14.5" thickBot="1" x14ac:dyDescent="0.35">
      <c r="B98" s="461"/>
      <c r="C98" s="139" t="s">
        <v>38</v>
      </c>
      <c r="D98" s="124" t="s">
        <v>38</v>
      </c>
      <c r="E98" s="211" t="s">
        <v>38</v>
      </c>
      <c r="F98" s="123" t="s">
        <v>38</v>
      </c>
      <c r="G98" s="124" t="s">
        <v>38</v>
      </c>
      <c r="H98" s="121" t="s">
        <v>38</v>
      </c>
      <c r="I98" s="213" t="s">
        <v>38</v>
      </c>
      <c r="J98" s="123" t="s">
        <v>38</v>
      </c>
      <c r="K98" s="124" t="s">
        <v>38</v>
      </c>
      <c r="L98" s="121" t="s">
        <v>38</v>
      </c>
      <c r="M98" s="213" t="s">
        <v>38</v>
      </c>
      <c r="N98" s="123" t="s">
        <v>38</v>
      </c>
      <c r="O98" s="124" t="s">
        <v>38</v>
      </c>
      <c r="P98" s="152" t="s">
        <v>38</v>
      </c>
      <c r="Q98" s="158" t="s">
        <v>38</v>
      </c>
      <c r="R98" s="125" t="s">
        <v>14</v>
      </c>
    </row>
    <row r="99" spans="1:18" s="171" customFormat="1" ht="28" customHeight="1" thickBot="1" x14ac:dyDescent="0.35">
      <c r="A99" s="103"/>
      <c r="B99" s="182" t="str">
        <f>"Übersicht DD 2025 bis Abbau Null "</f>
        <v xml:space="preserve">Übersicht DD 2025 bis Abbau Null </v>
      </c>
      <c r="C99" s="189">
        <f>'DD Energie 2025'!C100</f>
        <v>100001</v>
      </c>
      <c r="D99" s="189">
        <f>'DD Energie 2025'!D100</f>
        <v>2250.0225</v>
      </c>
      <c r="E99" s="212">
        <f>'DD Energie 2025'!E100</f>
        <v>102251.02250000001</v>
      </c>
      <c r="F99" s="169">
        <f>'DD Energie 2026'!F100</f>
        <v>2300.64800625</v>
      </c>
      <c r="G99" s="147">
        <f>'DD Energie 2026'!G100</f>
        <v>104551.67050625001</v>
      </c>
      <c r="H99" s="147">
        <f>'DD Energie 2026'!H100</f>
        <v>-35634.694364213545</v>
      </c>
      <c r="I99" s="210">
        <f>'DD Energie 2026'!I100</f>
        <v>68916.976142036467</v>
      </c>
      <c r="J99" s="169">
        <f>I99*(J94/100)</f>
        <v>1826.2998677639664</v>
      </c>
      <c r="K99" s="147">
        <f>J99+I99</f>
        <v>70743.276009800436</v>
      </c>
      <c r="L99" s="191">
        <f>'DD Energie 2026'!L100</f>
        <v>-35233.804052616142</v>
      </c>
      <c r="M99" s="205">
        <f>K99+L99+L100</f>
        <v>35509.471957184294</v>
      </c>
      <c r="N99" s="169">
        <f>M99*(N94/100)</f>
        <v>941.00100686538383</v>
      </c>
      <c r="O99" s="147">
        <f>N99+M99</f>
        <v>36450.472964049681</v>
      </c>
      <c r="P99" s="155">
        <f>-O99-P100</f>
        <v>-36450.472964049681</v>
      </c>
      <c r="Q99" s="168">
        <f>O99+P99+P100</f>
        <v>0</v>
      </c>
      <c r="R99" s="214"/>
    </row>
    <row r="100" spans="1:18" x14ac:dyDescent="0.3">
      <c r="B100" s="188" t="s">
        <v>91</v>
      </c>
      <c r="C100" s="31"/>
      <c r="D100" s="31"/>
      <c r="F100" s="31"/>
      <c r="G100" s="31"/>
      <c r="H100" s="192">
        <f>'DD Energie 2026'!H101</f>
        <v>0</v>
      </c>
      <c r="L100" s="192">
        <f>'DD Energie 2026'!L101</f>
        <v>0</v>
      </c>
      <c r="P100" s="252">
        <v>0</v>
      </c>
      <c r="Q100" s="104"/>
    </row>
    <row r="101" spans="1:18" ht="24.75" customHeight="1" x14ac:dyDescent="0.3">
      <c r="F101" s="31"/>
      <c r="G101" s="31"/>
      <c r="H101" s="186" t="s">
        <v>93</v>
      </c>
      <c r="L101" s="186" t="s">
        <v>93</v>
      </c>
      <c r="P101" s="186" t="s">
        <v>93</v>
      </c>
    </row>
    <row r="102" spans="1:18" x14ac:dyDescent="0.3">
      <c r="F102" s="31"/>
      <c r="G102" s="31"/>
      <c r="H102" s="190"/>
      <c r="L102" s="190"/>
      <c r="P102" s="190"/>
    </row>
    <row r="103" spans="1:18" x14ac:dyDescent="0.3">
      <c r="F103" s="31"/>
      <c r="G103" s="31"/>
      <c r="H103" s="190"/>
      <c r="L103" s="190"/>
      <c r="P103" s="190"/>
    </row>
    <row r="104" spans="1:18" ht="14.5" x14ac:dyDescent="0.35">
      <c r="F104" s="31"/>
      <c r="G104" s="31"/>
      <c r="H104" s="142"/>
    </row>
    <row r="105" spans="1:18" ht="28" x14ac:dyDescent="0.3">
      <c r="B105" s="283" t="s">
        <v>144</v>
      </c>
      <c r="E105" s="164" t="s">
        <v>100</v>
      </c>
      <c r="I105" s="164" t="s">
        <v>87</v>
      </c>
      <c r="M105" s="164" t="s">
        <v>102</v>
      </c>
      <c r="Q105" s="164" t="s">
        <v>89</v>
      </c>
    </row>
    <row r="106" spans="1:18" ht="30.75" customHeight="1" x14ac:dyDescent="0.3">
      <c r="F106" s="194"/>
      <c r="J106" s="251" t="s">
        <v>137</v>
      </c>
      <c r="N106" s="251" t="s">
        <v>140</v>
      </c>
    </row>
    <row r="107" spans="1:18" ht="14.5" thickBot="1" x14ac:dyDescent="0.35">
      <c r="B107" s="31"/>
      <c r="C107" s="180"/>
      <c r="D107" s="254" t="s">
        <v>116</v>
      </c>
      <c r="E107" s="31"/>
      <c r="F107" s="254" t="s">
        <v>116</v>
      </c>
      <c r="G107" s="31"/>
      <c r="J107" s="254" t="s">
        <v>116</v>
      </c>
      <c r="N107" s="254" t="s">
        <v>116</v>
      </c>
    </row>
    <row r="108" spans="1:18" ht="16" thickBot="1" x14ac:dyDescent="0.4">
      <c r="B108" s="3" t="s">
        <v>70</v>
      </c>
      <c r="C108" s="14"/>
      <c r="D108" s="193">
        <f>'DD Energie 2026'!D109</f>
        <v>2.25</v>
      </c>
      <c r="E108" s="14"/>
      <c r="F108" s="96">
        <f>D55</f>
        <v>2.65</v>
      </c>
      <c r="G108" s="31"/>
      <c r="H108" s="184"/>
      <c r="I108" s="14"/>
      <c r="J108" s="96">
        <f>N94</f>
        <v>2.65</v>
      </c>
      <c r="K108" s="137"/>
      <c r="L108" s="137"/>
      <c r="M108" s="137"/>
      <c r="N108" s="96">
        <f>J108</f>
        <v>2.65</v>
      </c>
    </row>
    <row r="109" spans="1:18" ht="25.5" x14ac:dyDescent="0.3">
      <c r="B109" s="460"/>
      <c r="C109" s="138" t="s">
        <v>46</v>
      </c>
      <c r="D109" s="111" t="s">
        <v>48</v>
      </c>
      <c r="E109" s="245" t="s">
        <v>106</v>
      </c>
      <c r="F109" s="110" t="s">
        <v>48</v>
      </c>
      <c r="G109" s="111" t="s">
        <v>106</v>
      </c>
      <c r="H109" s="112" t="s">
        <v>51</v>
      </c>
      <c r="I109" s="207" t="s">
        <v>52</v>
      </c>
      <c r="J109" s="110" t="s">
        <v>48</v>
      </c>
      <c r="K109" s="111" t="s">
        <v>106</v>
      </c>
      <c r="L109" s="112" t="s">
        <v>51</v>
      </c>
      <c r="M109" s="207" t="s">
        <v>52</v>
      </c>
      <c r="N109" s="110" t="s">
        <v>48</v>
      </c>
      <c r="O109" s="111" t="s">
        <v>106</v>
      </c>
      <c r="P109" s="150" t="s">
        <v>51</v>
      </c>
      <c r="Q109" s="156" t="s">
        <v>154</v>
      </c>
      <c r="R109" s="113"/>
    </row>
    <row r="110" spans="1:18" x14ac:dyDescent="0.3">
      <c r="B110" s="461"/>
      <c r="C110" s="139" t="s">
        <v>110</v>
      </c>
      <c r="D110" s="124" t="s">
        <v>55</v>
      </c>
      <c r="E110" s="211" t="s">
        <v>60</v>
      </c>
      <c r="F110" s="123" t="s">
        <v>55</v>
      </c>
      <c r="G110" s="124" t="s">
        <v>62</v>
      </c>
      <c r="H110" s="121" t="str">
        <f>"Tarife "&amp; C8+1</f>
        <v>Tarife 2028</v>
      </c>
      <c r="I110" s="213" t="s">
        <v>57</v>
      </c>
      <c r="J110" s="123" t="s">
        <v>55</v>
      </c>
      <c r="K110" s="124" t="s">
        <v>67</v>
      </c>
      <c r="L110" s="121" t="str">
        <f>"Tarife "&amp; C8+2</f>
        <v>Tarife 2029</v>
      </c>
      <c r="M110" s="213" t="s">
        <v>57</v>
      </c>
      <c r="N110" s="123" t="s">
        <v>55</v>
      </c>
      <c r="O110" s="124" t="s">
        <v>69</v>
      </c>
      <c r="P110" s="152" t="str">
        <f>"Tarife "&amp; C8+3</f>
        <v>Tarife 2030</v>
      </c>
      <c r="Q110" s="157" t="s">
        <v>53</v>
      </c>
      <c r="R110" s="122"/>
    </row>
    <row r="111" spans="1:18" x14ac:dyDescent="0.3">
      <c r="B111" s="461"/>
      <c r="C111" s="139"/>
      <c r="D111" s="124"/>
      <c r="E111" s="211"/>
      <c r="F111" s="123"/>
      <c r="G111" s="124"/>
      <c r="H111" s="121" t="s">
        <v>63</v>
      </c>
      <c r="I111" s="213"/>
      <c r="J111" s="123"/>
      <c r="K111" s="124"/>
      <c r="L111" s="121" t="s">
        <v>64</v>
      </c>
      <c r="M111" s="213"/>
      <c r="N111" s="123"/>
      <c r="O111" s="124"/>
      <c r="P111" s="152" t="s">
        <v>65</v>
      </c>
      <c r="Q111" s="158"/>
      <c r="R111" s="122"/>
    </row>
    <row r="112" spans="1:18" ht="14.5" thickBot="1" x14ac:dyDescent="0.35">
      <c r="B112" s="461"/>
      <c r="C112" s="139" t="s">
        <v>38</v>
      </c>
      <c r="D112" s="124" t="s">
        <v>38</v>
      </c>
      <c r="E112" s="211" t="s">
        <v>38</v>
      </c>
      <c r="F112" s="123" t="s">
        <v>38</v>
      </c>
      <c r="G112" s="124" t="s">
        <v>38</v>
      </c>
      <c r="H112" s="121" t="s">
        <v>38</v>
      </c>
      <c r="I112" s="213" t="s">
        <v>38</v>
      </c>
      <c r="J112" s="123" t="s">
        <v>38</v>
      </c>
      <c r="K112" s="124" t="s">
        <v>38</v>
      </c>
      <c r="L112" s="121" t="s">
        <v>38</v>
      </c>
      <c r="M112" s="213" t="s">
        <v>38</v>
      </c>
      <c r="N112" s="123" t="s">
        <v>38</v>
      </c>
      <c r="O112" s="124" t="s">
        <v>38</v>
      </c>
      <c r="P112" s="152" t="s">
        <v>38</v>
      </c>
      <c r="Q112" s="158" t="s">
        <v>38</v>
      </c>
      <c r="R112" s="125" t="s">
        <v>14</v>
      </c>
    </row>
    <row r="113" spans="1:18" s="171" customFormat="1" ht="28" customHeight="1" thickBot="1" x14ac:dyDescent="0.35">
      <c r="A113" s="103"/>
      <c r="B113" s="182" t="str">
        <f>"Übersicht DD 2026 bis Abbau Null "</f>
        <v xml:space="preserve">Übersicht DD 2026 bis Abbau Null </v>
      </c>
      <c r="C113" s="189">
        <f>'DD Energie 2026'!C114</f>
        <v>-0.23858218663372099</v>
      </c>
      <c r="D113" s="129">
        <f>'DD Energie 2026'!D114</f>
        <v>-5.3680991992587218E-3</v>
      </c>
      <c r="E113" s="212">
        <f>'DD Energie 2026'!E114</f>
        <v>-0.24395028583297973</v>
      </c>
      <c r="F113" s="169">
        <f>E113*(F108/100)</f>
        <v>-6.4646825745739624E-3</v>
      </c>
      <c r="G113" s="147">
        <f>E113+F113</f>
        <v>-0.25041496840755367</v>
      </c>
      <c r="H113" s="191">
        <f>'DD Energie 2026'!H114</f>
        <v>8.5017182842555591E-2</v>
      </c>
      <c r="I113" s="210">
        <f>G113+H113+H114</f>
        <v>-0.16539778556499807</v>
      </c>
      <c r="J113" s="169">
        <f>I113*(J108/100)</f>
        <v>-4.3830413174724484E-3</v>
      </c>
      <c r="K113" s="147">
        <f>J113+I113</f>
        <v>-0.16978082688247051</v>
      </c>
      <c r="L113" s="149">
        <f>IF(L114&lt;ABS(K113),(-K113-L114)/2,0)</f>
        <v>8.4890413441235255E-2</v>
      </c>
      <c r="M113" s="205">
        <f>K113+L113+L114</f>
        <v>-8.4890413441235255E-2</v>
      </c>
      <c r="N113" s="169">
        <f>M113*(N108/100)</f>
        <v>-2.249595956192734E-3</v>
      </c>
      <c r="O113" s="147">
        <f>N113+M113</f>
        <v>-8.7140009397427984E-2</v>
      </c>
      <c r="P113" s="155">
        <f>-O113-P114</f>
        <v>8.7140009397427984E-2</v>
      </c>
      <c r="Q113" s="168">
        <f>O113+P113+P114</f>
        <v>0</v>
      </c>
      <c r="R113" s="214"/>
    </row>
    <row r="114" spans="1:18" x14ac:dyDescent="0.3">
      <c r="B114" s="188" t="s">
        <v>91</v>
      </c>
      <c r="C114" s="31"/>
      <c r="D114" s="31"/>
      <c r="E114" s="31"/>
      <c r="F114" s="31"/>
      <c r="G114" s="31"/>
      <c r="H114" s="192">
        <f>'DD Energie 2026'!H115</f>
        <v>0</v>
      </c>
      <c r="L114" s="252">
        <v>0</v>
      </c>
      <c r="M114" s="103"/>
      <c r="N114" s="103"/>
      <c r="O114" s="103"/>
      <c r="P114" s="252">
        <v>0</v>
      </c>
      <c r="Q114" s="104"/>
    </row>
    <row r="115" spans="1:18" ht="24.75" customHeight="1" x14ac:dyDescent="0.3">
      <c r="H115" s="186" t="s">
        <v>93</v>
      </c>
      <c r="L115" s="186" t="s">
        <v>93</v>
      </c>
      <c r="P115" s="186" t="s">
        <v>93</v>
      </c>
    </row>
    <row r="116" spans="1:18" x14ac:dyDescent="0.3">
      <c r="H116" s="190"/>
      <c r="L116" s="190"/>
      <c r="P116" s="190"/>
    </row>
    <row r="117" spans="1:18" x14ac:dyDescent="0.3">
      <c r="H117" s="190"/>
      <c r="L117" s="190"/>
      <c r="P117" s="190"/>
    </row>
    <row r="119" spans="1:18" ht="28" x14ac:dyDescent="0.3">
      <c r="B119" s="283" t="s">
        <v>144</v>
      </c>
      <c r="E119" s="164" t="s">
        <v>101</v>
      </c>
      <c r="I119" s="164" t="s">
        <v>88</v>
      </c>
      <c r="M119" s="164" t="s">
        <v>104</v>
      </c>
      <c r="Q119" s="164" t="s">
        <v>90</v>
      </c>
    </row>
    <row r="120" spans="1:18" ht="30.75" customHeight="1" x14ac:dyDescent="0.3">
      <c r="F120" s="251" t="s">
        <v>137</v>
      </c>
      <c r="J120" s="251" t="s">
        <v>140</v>
      </c>
      <c r="N120" s="251" t="s">
        <v>141</v>
      </c>
    </row>
    <row r="121" spans="1:18" ht="14.5" thickBot="1" x14ac:dyDescent="0.35">
      <c r="B121" s="31"/>
      <c r="C121" s="180"/>
      <c r="D121" s="254" t="s">
        <v>116</v>
      </c>
      <c r="E121" s="31"/>
      <c r="F121" s="254" t="s">
        <v>116</v>
      </c>
      <c r="G121" s="31"/>
      <c r="J121" s="254" t="s">
        <v>116</v>
      </c>
      <c r="N121" s="254" t="s">
        <v>116</v>
      </c>
    </row>
    <row r="122" spans="1:18" ht="16" thickBot="1" x14ac:dyDescent="0.4">
      <c r="B122" s="3" t="s">
        <v>72</v>
      </c>
      <c r="C122" s="14"/>
      <c r="D122" s="96">
        <f>D55</f>
        <v>2.65</v>
      </c>
      <c r="E122" s="14"/>
      <c r="F122" s="96">
        <f>J108</f>
        <v>2.65</v>
      </c>
      <c r="G122" s="31"/>
      <c r="H122" s="184"/>
      <c r="I122" s="14"/>
      <c r="J122" s="96">
        <f>N108</f>
        <v>2.65</v>
      </c>
      <c r="K122" s="137"/>
      <c r="L122" s="137"/>
      <c r="M122" s="137"/>
      <c r="N122" s="96">
        <f>J122</f>
        <v>2.65</v>
      </c>
      <c r="R122" s="14"/>
    </row>
    <row r="123" spans="1:18" ht="25.5" x14ac:dyDescent="0.3">
      <c r="B123" s="460"/>
      <c r="C123" s="138" t="s">
        <v>46</v>
      </c>
      <c r="D123" s="111" t="s">
        <v>48</v>
      </c>
      <c r="E123" s="245" t="s">
        <v>106</v>
      </c>
      <c r="F123" s="110" t="s">
        <v>48</v>
      </c>
      <c r="G123" s="111" t="s">
        <v>106</v>
      </c>
      <c r="H123" s="112" t="s">
        <v>51</v>
      </c>
      <c r="I123" s="207" t="s">
        <v>52</v>
      </c>
      <c r="J123" s="110" t="s">
        <v>48</v>
      </c>
      <c r="K123" s="111" t="s">
        <v>106</v>
      </c>
      <c r="L123" s="112" t="s">
        <v>51</v>
      </c>
      <c r="M123" s="207" t="s">
        <v>52</v>
      </c>
      <c r="N123" s="110" t="s">
        <v>48</v>
      </c>
      <c r="O123" s="111" t="s">
        <v>106</v>
      </c>
      <c r="P123" s="150" t="s">
        <v>51</v>
      </c>
      <c r="Q123" s="156" t="s">
        <v>154</v>
      </c>
      <c r="R123" s="113"/>
    </row>
    <row r="124" spans="1:18" x14ac:dyDescent="0.3">
      <c r="B124" s="461"/>
      <c r="C124" s="139" t="s">
        <v>111</v>
      </c>
      <c r="D124" s="124" t="s">
        <v>55</v>
      </c>
      <c r="E124" s="211" t="s">
        <v>62</v>
      </c>
      <c r="F124" s="123" t="s">
        <v>55</v>
      </c>
      <c r="G124" s="124" t="s">
        <v>67</v>
      </c>
      <c r="H124" s="121" t="str">
        <f>"Tarife "&amp; C8+2</f>
        <v>Tarife 2029</v>
      </c>
      <c r="I124" s="213" t="s">
        <v>57</v>
      </c>
      <c r="J124" s="123" t="s">
        <v>55</v>
      </c>
      <c r="K124" s="124" t="s">
        <v>69</v>
      </c>
      <c r="L124" s="121" t="str">
        <f>"Tarife "&amp; C8+3</f>
        <v>Tarife 2030</v>
      </c>
      <c r="M124" s="213" t="s">
        <v>57</v>
      </c>
      <c r="N124" s="123" t="s">
        <v>55</v>
      </c>
      <c r="O124" s="124" t="s">
        <v>71</v>
      </c>
      <c r="P124" s="152" t="str">
        <f>"Tarife "&amp; C8+4</f>
        <v>Tarife 2031</v>
      </c>
      <c r="Q124" s="157" t="s">
        <v>53</v>
      </c>
      <c r="R124" s="122"/>
    </row>
    <row r="125" spans="1:18" x14ac:dyDescent="0.3">
      <c r="B125" s="461"/>
      <c r="C125" s="139"/>
      <c r="D125" s="124"/>
      <c r="E125" s="211"/>
      <c r="F125" s="123"/>
      <c r="G125" s="124"/>
      <c r="H125" s="121" t="s">
        <v>63</v>
      </c>
      <c r="I125" s="213"/>
      <c r="J125" s="123"/>
      <c r="K125" s="124"/>
      <c r="L125" s="121" t="s">
        <v>64</v>
      </c>
      <c r="M125" s="213"/>
      <c r="N125" s="123"/>
      <c r="O125" s="124"/>
      <c r="P125" s="152" t="s">
        <v>65</v>
      </c>
      <c r="Q125" s="158"/>
      <c r="R125" s="122"/>
    </row>
    <row r="126" spans="1:18" ht="14.5" thickBot="1" x14ac:dyDescent="0.35">
      <c r="B126" s="461"/>
      <c r="C126" s="139" t="s">
        <v>38</v>
      </c>
      <c r="D126" s="124" t="s">
        <v>38</v>
      </c>
      <c r="E126" s="211" t="s">
        <v>38</v>
      </c>
      <c r="F126" s="123" t="s">
        <v>38</v>
      </c>
      <c r="G126" s="124" t="s">
        <v>38</v>
      </c>
      <c r="H126" s="121" t="s">
        <v>38</v>
      </c>
      <c r="I126" s="213" t="s">
        <v>38</v>
      </c>
      <c r="J126" s="123" t="s">
        <v>38</v>
      </c>
      <c r="K126" s="124" t="s">
        <v>38</v>
      </c>
      <c r="L126" s="121" t="s">
        <v>38</v>
      </c>
      <c r="M126" s="213" t="s">
        <v>38</v>
      </c>
      <c r="N126" s="123" t="s">
        <v>38</v>
      </c>
      <c r="O126" s="124" t="s">
        <v>38</v>
      </c>
      <c r="P126" s="152" t="s">
        <v>38</v>
      </c>
      <c r="Q126" s="158" t="s">
        <v>38</v>
      </c>
      <c r="R126" s="125" t="s">
        <v>14</v>
      </c>
    </row>
    <row r="127" spans="1:18" s="171" customFormat="1" ht="28" customHeight="1" thickBot="1" x14ac:dyDescent="0.35">
      <c r="A127" s="103"/>
      <c r="B127" s="182" t="str">
        <f>"Übersicht DD 2027 bis Abbau Null "</f>
        <v xml:space="preserve">Übersicht DD 2027 bis Abbau Null </v>
      </c>
      <c r="C127" s="140">
        <f>D51</f>
        <v>146497.3527643804</v>
      </c>
      <c r="D127" s="129">
        <f>C127*(D122/100)</f>
        <v>3882.1798482560803</v>
      </c>
      <c r="E127" s="212">
        <f>D127+C127</f>
        <v>150379.53261263648</v>
      </c>
      <c r="F127" s="169">
        <f>E127*(F122/100)</f>
        <v>3985.0576142348668</v>
      </c>
      <c r="G127" s="147">
        <f>E127+F127</f>
        <v>154364.59022687134</v>
      </c>
      <c r="H127" s="149">
        <f>IF(H128&lt;ABS(G127),(-G127-H128)/3*(1+F122/100),0)</f>
        <v>-52818.417289294477</v>
      </c>
      <c r="I127" s="210">
        <f>G127+H127+H128</f>
        <v>101546.17293757686</v>
      </c>
      <c r="J127" s="169">
        <f>I127*(J122/100)</f>
        <v>2690.973582845787</v>
      </c>
      <c r="K127" s="147">
        <f>J127+I127</f>
        <v>104237.14652042266</v>
      </c>
      <c r="L127" s="149">
        <f>IF(L128&lt;ABS(K127),(-K127-L128)/2,0)</f>
        <v>-52118.573260211328</v>
      </c>
      <c r="M127" s="205">
        <f>K127+L127+L128</f>
        <v>52118.573260211328</v>
      </c>
      <c r="N127" s="169">
        <f>M127*(N122/100)</f>
        <v>1381.1421913956001</v>
      </c>
      <c r="O127" s="147">
        <f>N127+M127</f>
        <v>53499.715451606928</v>
      </c>
      <c r="P127" s="155">
        <f>-O127-P128</f>
        <v>-53499.715451606928</v>
      </c>
      <c r="Q127" s="168">
        <f>O127+P127+P128</f>
        <v>0</v>
      </c>
      <c r="R127" s="214"/>
    </row>
    <row r="128" spans="1:18" x14ac:dyDescent="0.3">
      <c r="B128" s="188" t="s">
        <v>91</v>
      </c>
      <c r="C128" s="31"/>
      <c r="D128" s="31"/>
      <c r="F128" s="31"/>
      <c r="G128" s="31"/>
      <c r="H128" s="252">
        <v>0</v>
      </c>
      <c r="I128" s="31"/>
      <c r="J128" s="103"/>
      <c r="K128" s="103"/>
      <c r="L128" s="252">
        <v>0</v>
      </c>
      <c r="M128" s="103"/>
      <c r="N128" s="103"/>
      <c r="O128" s="103"/>
      <c r="P128" s="252">
        <v>0</v>
      </c>
      <c r="Q128" s="104"/>
    </row>
    <row r="129" spans="1:22" ht="24" customHeight="1" x14ac:dyDescent="0.3">
      <c r="H129" s="186" t="s">
        <v>93</v>
      </c>
      <c r="L129" s="186" t="s">
        <v>93</v>
      </c>
      <c r="P129" s="186" t="s">
        <v>93</v>
      </c>
    </row>
    <row r="130" spans="1:22" ht="21" customHeight="1" x14ac:dyDescent="0.3">
      <c r="H130" s="190"/>
      <c r="L130" s="190"/>
      <c r="P130" s="190"/>
    </row>
    <row r="131" spans="1:22" x14ac:dyDescent="0.3">
      <c r="F131" s="190"/>
      <c r="J131" s="190"/>
      <c r="N131" s="190"/>
    </row>
    <row r="132" spans="1:22" s="102" customFormat="1" ht="28.5" customHeight="1" x14ac:dyDescent="0.35">
      <c r="A132" s="145" t="s">
        <v>74</v>
      </c>
      <c r="B132" s="100"/>
      <c r="C132" s="100"/>
      <c r="D132" s="100"/>
      <c r="E132" s="100"/>
      <c r="F132" s="100"/>
      <c r="G132" s="100"/>
      <c r="H132" s="101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</row>
    <row r="134" spans="1:22" ht="15.5" x14ac:dyDescent="0.35">
      <c r="B134" s="3" t="s">
        <v>74</v>
      </c>
      <c r="C134" s="81" t="s">
        <v>92</v>
      </c>
      <c r="D134" s="81" t="s">
        <v>75</v>
      </c>
      <c r="E134" s="14" t="s">
        <v>76</v>
      </c>
      <c r="F134" s="14" t="s">
        <v>77</v>
      </c>
      <c r="G134" s="81" t="s">
        <v>98</v>
      </c>
      <c r="H134" s="49"/>
      <c r="J134" s="14"/>
      <c r="L134" s="81"/>
      <c r="P134" s="81"/>
      <c r="T134" s="14"/>
    </row>
    <row r="135" spans="1:22" ht="16" thickBot="1" x14ac:dyDescent="0.4">
      <c r="B135" s="3"/>
      <c r="C135" s="317" t="s">
        <v>150</v>
      </c>
      <c r="D135" s="445" t="s">
        <v>151</v>
      </c>
      <c r="E135" s="446"/>
      <c r="F135" s="14"/>
      <c r="G135" s="81"/>
      <c r="H135" s="49"/>
      <c r="J135" s="14"/>
      <c r="L135" s="81"/>
      <c r="P135" s="81"/>
      <c r="T135" s="14"/>
    </row>
    <row r="136" spans="1:22" ht="32.5" customHeight="1" x14ac:dyDescent="0.3">
      <c r="B136" s="460"/>
      <c r="C136" s="121" t="s">
        <v>45</v>
      </c>
      <c r="D136" s="124" t="s">
        <v>146</v>
      </c>
      <c r="E136" s="318" t="s">
        <v>145</v>
      </c>
      <c r="F136" s="112" t="s">
        <v>120</v>
      </c>
      <c r="G136" s="217" t="s">
        <v>120</v>
      </c>
    </row>
    <row r="137" spans="1:22" x14ac:dyDescent="0.3">
      <c r="B137" s="461"/>
      <c r="C137" s="215"/>
      <c r="D137" s="146">
        <f>$C$8</f>
        <v>2027</v>
      </c>
      <c r="E137" s="146">
        <f>C8</f>
        <v>2027</v>
      </c>
      <c r="F137" s="146">
        <f>E137+1</f>
        <v>2028</v>
      </c>
      <c r="G137" s="244">
        <f>E137+2</f>
        <v>2029</v>
      </c>
    </row>
    <row r="138" spans="1:22" ht="14.5" thickBot="1" x14ac:dyDescent="0.35">
      <c r="B138" s="462"/>
      <c r="C138" s="139" t="s">
        <v>38</v>
      </c>
      <c r="D138" s="124" t="s">
        <v>38</v>
      </c>
      <c r="E138" s="179" t="s">
        <v>38</v>
      </c>
      <c r="F138" s="121" t="s">
        <v>38</v>
      </c>
      <c r="G138" s="218" t="s">
        <v>38</v>
      </c>
    </row>
    <row r="139" spans="1:22" ht="14.5" thickBot="1" x14ac:dyDescent="0.35">
      <c r="B139" s="126" t="s">
        <v>78</v>
      </c>
      <c r="C139" s="222">
        <f>U71</f>
        <v>0</v>
      </c>
      <c r="D139" s="222">
        <f>SUM(D141:D143)</f>
        <v>35509.227294757729</v>
      </c>
      <c r="E139" s="222">
        <f>C127</f>
        <v>146497.3527643804</v>
      </c>
      <c r="F139" s="223">
        <f>SUM(F141:F143)+F144</f>
        <v>-25702.980550220043</v>
      </c>
      <c r="G139" s="286">
        <f>SUM(G140:G142)+G144</f>
        <v>-89268.80465079</v>
      </c>
    </row>
    <row r="140" spans="1:22" ht="14.5" thickBot="1" x14ac:dyDescent="0.35">
      <c r="B140" s="216" t="str">
        <f>"davon t ["&amp;$C$8&amp;"]"</f>
        <v>davon t [2027]</v>
      </c>
      <c r="C140" s="301"/>
      <c r="D140" s="301"/>
      <c r="E140" s="301"/>
      <c r="F140" s="301"/>
      <c r="G140" s="226">
        <f>H127</f>
        <v>-52818.417289294477</v>
      </c>
      <c r="H140" s="31"/>
      <c r="J140" s="31"/>
      <c r="K140" s="31"/>
      <c r="L140" s="131"/>
      <c r="P140" s="131"/>
      <c r="T140" s="131"/>
      <c r="U140" s="104"/>
    </row>
    <row r="141" spans="1:22" ht="14.5" thickBot="1" x14ac:dyDescent="0.35">
      <c r="B141" s="216" t="str">
        <f>"davon t-1 ["&amp;$C$8-1&amp;"]"</f>
        <v>davon t-1 [2026]</v>
      </c>
      <c r="C141" s="302"/>
      <c r="D141" s="219">
        <f>E113</f>
        <v>-0.24395028583297973</v>
      </c>
      <c r="E141" s="302"/>
      <c r="F141" s="221">
        <f>H113</f>
        <v>8.5017182842555591E-2</v>
      </c>
      <c r="G141" s="225">
        <f>L113</f>
        <v>8.4890413441235255E-2</v>
      </c>
      <c r="H141" s="49"/>
      <c r="J141" s="31"/>
      <c r="K141" s="31"/>
      <c r="S141" s="1"/>
    </row>
    <row r="142" spans="1:22" ht="14.5" thickBot="1" x14ac:dyDescent="0.35">
      <c r="B142" s="216" t="str">
        <f>"davon t-2 ["&amp;$C$8-2&amp;"]"</f>
        <v>davon t-2 [2025]</v>
      </c>
      <c r="C142" s="302"/>
      <c r="D142" s="219">
        <f>M99</f>
        <v>35509.471957184294</v>
      </c>
      <c r="E142" s="302"/>
      <c r="F142" s="221">
        <f>L99</f>
        <v>-35233.804052616142</v>
      </c>
      <c r="G142" s="225">
        <f>P99</f>
        <v>-36450.472964049681</v>
      </c>
    </row>
    <row r="143" spans="1:22" ht="14.5" thickBot="1" x14ac:dyDescent="0.35">
      <c r="B143" s="246" t="str">
        <f>"davon t-3 ["&amp;$C$8-3&amp;"]"</f>
        <v>davon t-3 [2024]</v>
      </c>
      <c r="C143" s="304"/>
      <c r="D143" s="220">
        <f>Q85</f>
        <v>-7.1214072998770916E-4</v>
      </c>
      <c r="E143" s="304"/>
      <c r="F143" s="220">
        <f>P85</f>
        <v>9523.6192284738936</v>
      </c>
      <c r="G143" s="305"/>
      <c r="K143" s="148"/>
    </row>
    <row r="144" spans="1:22" ht="14.5" thickBot="1" x14ac:dyDescent="0.35">
      <c r="B144" s="288" t="s">
        <v>124</v>
      </c>
      <c r="C144" s="103"/>
      <c r="D144" s="103"/>
      <c r="E144" s="103"/>
      <c r="F144" s="289">
        <f>'DD Energie 2026'!G131</f>
        <v>7.119256739363891</v>
      </c>
      <c r="G144" s="289">
        <f>-Q85</f>
        <v>7.1214072998770916E-4</v>
      </c>
    </row>
    <row r="145" spans="3:3" x14ac:dyDescent="0.3">
      <c r="C145" s="104"/>
    </row>
    <row r="146" spans="3:3" x14ac:dyDescent="0.3">
      <c r="C146" s="104"/>
    </row>
  </sheetData>
  <sheetProtection formatCells="0" formatColumns="0" formatRows="0" selectLockedCells="1"/>
  <dataConsolidate/>
  <mergeCells count="43">
    <mergeCell ref="J18:K18"/>
    <mergeCell ref="B16:B17"/>
    <mergeCell ref="J16:K16"/>
    <mergeCell ref="J17:K17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B48:C48"/>
    <mergeCell ref="E48:K48"/>
    <mergeCell ref="J33:K33"/>
    <mergeCell ref="J34:K34"/>
    <mergeCell ref="J35:K35"/>
    <mergeCell ref="B37:C37"/>
    <mergeCell ref="E42:K42"/>
    <mergeCell ref="B46:C46"/>
    <mergeCell ref="E46:K46"/>
    <mergeCell ref="B47:C47"/>
    <mergeCell ref="E47:K47"/>
    <mergeCell ref="E37:K37"/>
    <mergeCell ref="B136:B138"/>
    <mergeCell ref="B51:C51"/>
    <mergeCell ref="E51:K51"/>
    <mergeCell ref="E52:K52"/>
    <mergeCell ref="E53:K53"/>
    <mergeCell ref="B55:C55"/>
    <mergeCell ref="E55:K55"/>
    <mergeCell ref="E57:K57"/>
    <mergeCell ref="B68:B70"/>
    <mergeCell ref="D77:D78"/>
    <mergeCell ref="D135:E135"/>
    <mergeCell ref="B81:B84"/>
    <mergeCell ref="B95:B98"/>
    <mergeCell ref="B109:B112"/>
    <mergeCell ref="B123:B126"/>
  </mergeCells>
  <conditionalFormatting sqref="F139">
    <cfRule type="cellIs" dxfId="128" priority="85" stopIfTrue="1" operator="notEqual">
      <formula>0</formula>
    </cfRule>
  </conditionalFormatting>
  <conditionalFormatting sqref="F141:F142">
    <cfRule type="cellIs" dxfId="127" priority="80" stopIfTrue="1" operator="notEqual">
      <formula>0</formula>
    </cfRule>
  </conditionalFormatting>
  <conditionalFormatting sqref="F144:G144">
    <cfRule type="cellIs" dxfId="126" priority="52" stopIfTrue="1" operator="notEqual">
      <formula>0</formula>
    </cfRule>
  </conditionalFormatting>
  <conditionalFormatting sqref="F85:I85">
    <cfRule type="cellIs" dxfId="125" priority="144" stopIfTrue="1" operator="notEqual">
      <formula>0</formula>
    </cfRule>
  </conditionalFormatting>
  <conditionalFormatting sqref="F99:I99">
    <cfRule type="cellIs" dxfId="124" priority="69" stopIfTrue="1" operator="notEqual">
      <formula>0</formula>
    </cfRule>
  </conditionalFormatting>
  <conditionalFormatting sqref="F113:I113">
    <cfRule type="cellIs" dxfId="123" priority="67" stopIfTrue="1" operator="notEqual">
      <formula>0</formula>
    </cfRule>
  </conditionalFormatting>
  <conditionalFormatting sqref="F127:I127">
    <cfRule type="cellIs" dxfId="122" priority="44" stopIfTrue="1" operator="notEqual">
      <formula>0</formula>
    </cfRule>
  </conditionalFormatting>
  <conditionalFormatting sqref="G31:G32">
    <cfRule type="cellIs" dxfId="121" priority="112" stopIfTrue="1" operator="notEqual">
      <formula>0</formula>
    </cfRule>
  </conditionalFormatting>
  <conditionalFormatting sqref="G139:G142">
    <cfRule type="cellIs" dxfId="120" priority="79" stopIfTrue="1" operator="notEqual">
      <formula>0</formula>
    </cfRule>
  </conditionalFormatting>
  <conditionalFormatting sqref="H18:I19 G19 J19 G22:I23 G24:G30 H24:H32 I24:I35 G33:G35 J35">
    <cfRule type="cellIs" dxfId="119" priority="111" stopIfTrue="1" operator="notEqual">
      <formula>0</formula>
    </cfRule>
  </conditionalFormatting>
  <conditionalFormatting sqref="I71">
    <cfRule type="cellIs" dxfId="118" priority="142" stopIfTrue="1" operator="notEqual">
      <formula>0</formula>
    </cfRule>
  </conditionalFormatting>
  <conditionalFormatting sqref="K71:M71">
    <cfRule type="cellIs" dxfId="117" priority="136" stopIfTrue="1" operator="notEqual">
      <formula>0</formula>
    </cfRule>
  </conditionalFormatting>
  <conditionalFormatting sqref="K85:M85">
    <cfRule type="cellIs" dxfId="116" priority="143" stopIfTrue="1" operator="notEqual">
      <formula>0</formula>
    </cfRule>
  </conditionalFormatting>
  <conditionalFormatting sqref="K99:M99">
    <cfRule type="cellIs" dxfId="115" priority="93" stopIfTrue="1" operator="notEqual">
      <formula>0</formula>
    </cfRule>
  </conditionalFormatting>
  <conditionalFormatting sqref="K113:M113">
    <cfRule type="cellIs" dxfId="114" priority="48" stopIfTrue="1" operator="notEqual">
      <formula>0</formula>
    </cfRule>
  </conditionalFormatting>
  <conditionalFormatting sqref="K127:M127">
    <cfRule type="cellIs" dxfId="113" priority="42" stopIfTrue="1" operator="notEqual">
      <formula>0</formula>
    </cfRule>
  </conditionalFormatting>
  <conditionalFormatting sqref="O71:Q71">
    <cfRule type="cellIs" dxfId="112" priority="138" stopIfTrue="1" operator="notEqual">
      <formula>0</formula>
    </cfRule>
  </conditionalFormatting>
  <conditionalFormatting sqref="O85:Q85">
    <cfRule type="cellIs" dxfId="111" priority="77" stopIfTrue="1" operator="notEqual">
      <formula>0</formula>
    </cfRule>
  </conditionalFormatting>
  <conditionalFormatting sqref="O99:Q99">
    <cfRule type="cellIs" dxfId="110" priority="50" stopIfTrue="1" operator="notEqual">
      <formula>0</formula>
    </cfRule>
  </conditionalFormatting>
  <conditionalFormatting sqref="O113:Q113">
    <cfRule type="cellIs" dxfId="109" priority="46" stopIfTrue="1" operator="notEqual">
      <formula>0</formula>
    </cfRule>
  </conditionalFormatting>
  <conditionalFormatting sqref="O127:Q127">
    <cfRule type="cellIs" dxfId="108" priority="40" stopIfTrue="1" operator="notEqual">
      <formula>0</formula>
    </cfRule>
  </conditionalFormatting>
  <conditionalFormatting sqref="S71:U71">
    <cfRule type="cellIs" dxfId="107" priority="135" stopIfTrue="1" operator="notEqual">
      <formula>0</formula>
    </cfRule>
  </conditionalFormatting>
  <conditionalFormatting sqref="Q86">
    <cfRule type="expression" dxfId="106" priority="37">
      <formula>AND(Q86&gt;-R86,$Q$87 &lt;&gt; 0)</formula>
    </cfRule>
    <cfRule type="expression" dxfId="105" priority="38">
      <formula>R86&gt;=0</formula>
    </cfRule>
  </conditionalFormatting>
  <conditionalFormatting sqref="P100">
    <cfRule type="expression" dxfId="104" priority="35">
      <formula>AND(P100&gt; -O99, P100 &lt;&gt; 0)</formula>
    </cfRule>
    <cfRule type="expression" dxfId="103" priority="36">
      <formula>O99&gt;=0</formula>
    </cfRule>
  </conditionalFormatting>
  <conditionalFormatting sqref="L114">
    <cfRule type="expression" dxfId="102" priority="33">
      <formula>AND(L114&gt; -K113, L114 &lt;&gt; 0)</formula>
    </cfRule>
    <cfRule type="expression" dxfId="101" priority="34">
      <formula>K113&gt;=0</formula>
    </cfRule>
  </conditionalFormatting>
  <conditionalFormatting sqref="P114">
    <cfRule type="expression" dxfId="100" priority="31">
      <formula>AND(P114&gt; -O113, P114 &lt;&gt; 0)</formula>
    </cfRule>
    <cfRule type="expression" dxfId="99" priority="32">
      <formula>O113&gt;=0</formula>
    </cfRule>
  </conditionalFormatting>
  <conditionalFormatting sqref="H128">
    <cfRule type="expression" dxfId="98" priority="29">
      <formula>AND(H128&gt; -G127, H128 &lt;&gt; 0)</formula>
    </cfRule>
    <cfRule type="expression" dxfId="97" priority="30">
      <formula>G127&gt;=0</formula>
    </cfRule>
  </conditionalFormatting>
  <conditionalFormatting sqref="L128">
    <cfRule type="expression" dxfId="96" priority="27">
      <formula>AND(L128&gt; -K127, L128 &lt;&gt; 0)</formula>
    </cfRule>
    <cfRule type="expression" dxfId="95" priority="28">
      <formula>K127&gt;=0</formula>
    </cfRule>
  </conditionalFormatting>
  <conditionalFormatting sqref="P128">
    <cfRule type="expression" dxfId="94" priority="25">
      <formula>AND(P128&gt; -O127, P128 &lt;&gt; 0)</formula>
    </cfRule>
    <cfRule type="expression" dxfId="93" priority="26">
      <formula>O127&gt;=0</formula>
    </cfRule>
  </conditionalFormatting>
  <conditionalFormatting sqref="B46:C46">
    <cfRule type="expression" dxfId="92" priority="1" stopIfTrue="1">
      <formula>AND($D$46&lt;&gt;"",$D$46&lt;&gt;0)</formula>
    </cfRule>
    <cfRule type="expression" dxfId="91" priority="2" stopIfTrue="1">
      <formula>AND($D$46="",$D$46=0)</formula>
    </cfRule>
  </conditionalFormatting>
  <conditionalFormatting sqref="B47:C47">
    <cfRule type="expression" dxfId="90" priority="3" stopIfTrue="1">
      <formula>AND($D$47&lt;&gt;"",$D$47&lt;&gt;0)</formula>
    </cfRule>
    <cfRule type="expression" dxfId="89" priority="4" stopIfTrue="1">
      <formula>AND($D$47="",$D$47=0)</formula>
    </cfRule>
  </conditionalFormatting>
  <dataValidations count="6">
    <dataValidation allowBlank="1" showInputMessage="1" showErrorMessage="1" prompt="Tarifneutrale Unterdeckungs-Ausbuchung erfolgt mit + " sqref="M51" xr:uid="{FCD8C68D-AE34-44FE-BBC1-FD9CA4978F69}"/>
    <dataValidation type="decimal" allowBlank="1" showInputMessage="1" showErrorMessage="1" errorTitle="Standard" error="Bitte geben Sie einen Zahlenwert ein!" sqref="D62:E67" xr:uid="{D9262576-1A32-46C2-BB4F-F00BFB9CEB8C}">
      <formula1>-1000000000</formula1>
      <formula2>1000000000</formula2>
    </dataValidation>
    <dataValidation allowBlank="1" showInputMessage="1" showErrorMessage="1" errorTitle="Standard" error="Bitte geben Sie hier den verwendeten Zinssatz ein!" promptTitle="Zinssatz" sqref="P134:P135" xr:uid="{16131E0E-832D-43D8-97D8-22B2B307AF5D}"/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N122 F122 J122 D122 N80 N108 J108 J94 N94 F108" xr:uid="{9998B3B2-029B-490E-8A6B-C2B59AAD01C2}"/>
    <dataValidation type="decimal" allowBlank="1" showInputMessage="1" showErrorMessage="1" errorTitle="Achtung Rundungsproblem" error="Wenn Sie den negativen Rest (Unterdeckung) ganz entfernen möchten, geben Sie bitte einen um 0,01 Rp. oder 0,005 Rp. niedrigeren Betrag ein." promptTitle="Tarifneutrale Ausbuchung" prompt="Keine negative Werte_x000a_" sqref="Q86" xr:uid="{35A75A42-3549-43A8-B630-8402053823E8}">
      <formula1>0</formula1>
      <formula2>MAX(-R86,0)</formula2>
    </dataValidation>
    <dataValidation type="decimal" allowBlank="1" showInputMessage="1" showErrorMessage="1" promptTitle="Tarifneutrale Ausbuchung" prompt="Keine negative Werte_x000a_" sqref="P100 L114 P114 H128 L128 P128" xr:uid="{73BFE03A-BBFF-4A75-8591-712016693760}">
      <formula1>0</formula1>
      <formula2>MAX(-G99,0)</formula2>
    </dataValidation>
  </dataValidations>
  <hyperlinks>
    <hyperlink ref="J24:K24" location="Grosswasserkraft!A1" display="Siehe Formular 5.4" xr:uid="{54106DB4-F145-4DD8-B435-CD4D7E1F0C8E}"/>
    <hyperlink ref="J23:K23" location="'Art. 6 Abs. 5bis StromVG'!A1" display="Siehe Formular 5.5" xr:uid="{448B9B79-60C9-40A4-9C02-EF42ABB5B56E}"/>
    <hyperlink ref="J26:K26" location="'Art. 6 Abs. 5bis StromVG'!A1" display="Siehe Formular 5.5" xr:uid="{24B1CD08-B7AE-4AD6-A0C6-3145F09BD21D}"/>
  </hyperlinks>
  <pageMargins left="0.39370078740157483" right="0.19685039370078741" top="0.98425196850393704" bottom="0.6692913385826772" header="0.31496062992125984" footer="0.23622047244094491"/>
  <pageSetup paperSize="8" scale="47" fitToHeight="2" orientation="landscape" r:id="rId1"/>
  <headerFooter scaleWithDoc="0">
    <oddHeader>&amp;C&amp;A; &amp;D</oddHeader>
    <oddFooter>&amp;LNachkalkulation Deckungsdifferenzen Energie 2027&amp;RSeite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4D4A-C99D-436A-A3E6-138F44B56357}">
  <sheetPr codeName="Tabelle8">
    <outlinePr summaryBelow="0" summaryRight="0"/>
  </sheetPr>
  <dimension ref="A1:Y160"/>
  <sheetViews>
    <sheetView showGridLines="0" zoomScale="80" zoomScaleNormal="80" workbookViewId="0">
      <selection activeCell="C8" sqref="C8"/>
    </sheetView>
  </sheetViews>
  <sheetFormatPr baseColWidth="10" defaultColWidth="11" defaultRowHeight="14" outlineLevelRow="1" x14ac:dyDescent="0.3"/>
  <cols>
    <col min="1" max="1" width="7.81640625" style="2" customWidth="1"/>
    <col min="2" max="2" width="54.8164062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10" width="18.7265625" style="2" customWidth="1"/>
    <col min="11" max="11" width="18.1796875" style="2" customWidth="1"/>
    <col min="12" max="13" width="17.453125" style="2" customWidth="1"/>
    <col min="14" max="14" width="18.72656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228"/>
      <c r="W1" s="228"/>
      <c r="X1" s="103"/>
      <c r="Y1" s="103"/>
    </row>
    <row r="2" spans="1:25" ht="15.5" x14ac:dyDescent="0.35">
      <c r="A2" s="1"/>
      <c r="B2" s="3" t="str">
        <f>"Kostenrechnung für Tarife "&amp;C8+2</f>
        <v>Kostenrechnung für Tarife 2030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</row>
    <row r="3" spans="1:25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</row>
    <row r="4" spans="1:25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</row>
    <row r="5" spans="1:25" ht="20.25" customHeight="1" x14ac:dyDescent="0.4">
      <c r="A5" s="1"/>
      <c r="B5" s="4" t="str">
        <f>"Deckungsdifferenzen (DD) Energie "&amp;C8</f>
        <v>Deckungsdifferenzen (DD) Energie 2028</v>
      </c>
      <c r="C5" s="1"/>
      <c r="D5" s="1"/>
      <c r="E5" s="1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</row>
    <row r="6" spans="1:25" x14ac:dyDescent="0.3">
      <c r="A6" s="1"/>
      <c r="B6" s="5" t="s">
        <v>105</v>
      </c>
      <c r="C6" s="1"/>
      <c r="D6" s="1"/>
      <c r="E6" s="1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</row>
    <row r="7" spans="1:25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</row>
    <row r="8" spans="1:25" s="9" customFormat="1" ht="15" customHeight="1" x14ac:dyDescent="0.3">
      <c r="A8" s="6"/>
      <c r="B8" s="12" t="s">
        <v>115</v>
      </c>
      <c r="C8" s="8">
        <v>2028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</row>
    <row r="9" spans="1:25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</row>
    <row r="10" spans="1:25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</row>
    <row r="11" spans="1:25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6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</row>
    <row r="12" spans="1:25" ht="15" customHeight="1" x14ac:dyDescent="0.3">
      <c r="A12" s="1"/>
      <c r="B12" s="15" t="s">
        <v>2</v>
      </c>
      <c r="C12" s="16">
        <v>46753</v>
      </c>
      <c r="D12" s="15" t="s">
        <v>3</v>
      </c>
      <c r="E12" s="16">
        <v>47118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</row>
    <row r="13" spans="1:25" x14ac:dyDescent="0.3">
      <c r="A13" s="1"/>
      <c r="B13" s="12"/>
      <c r="C13" s="17"/>
      <c r="D13" s="1"/>
      <c r="E13" s="1"/>
      <c r="F13" s="1"/>
      <c r="G13" s="1"/>
      <c r="H13" s="1"/>
      <c r="I13" s="1"/>
      <c r="J13" s="1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</row>
    <row r="14" spans="1:25" ht="20.149999999999999" customHeight="1" x14ac:dyDescent="0.3">
      <c r="A14" s="1"/>
      <c r="B14" s="384" t="s">
        <v>4</v>
      </c>
      <c r="C14" s="385"/>
      <c r="D14" s="25"/>
      <c r="E14" s="387">
        <v>5.1100000000000003</v>
      </c>
      <c r="F14" s="388" t="s">
        <v>116</v>
      </c>
      <c r="G14" s="1"/>
      <c r="H14" s="1"/>
      <c r="I14" s="1"/>
      <c r="J14" s="1"/>
      <c r="K14" s="1"/>
      <c r="L14" s="228"/>
      <c r="M14" s="228"/>
      <c r="N14" s="232"/>
      <c r="O14" s="228"/>
      <c r="P14" s="228"/>
      <c r="Q14" s="228"/>
      <c r="R14" s="228"/>
      <c r="S14" s="228"/>
      <c r="T14" s="228"/>
      <c r="U14" s="228"/>
      <c r="V14" s="228"/>
      <c r="W14" s="228"/>
      <c r="X14" s="103"/>
      <c r="Y14" s="103"/>
    </row>
    <row r="15" spans="1:25" ht="60" customHeight="1" thickBot="1" x14ac:dyDescent="0.4">
      <c r="A15" s="1"/>
      <c r="B15" s="335" t="s">
        <v>157</v>
      </c>
      <c r="C15" s="3" t="str">
        <f>"IST-Gestehungskosten  "&amp;C8</f>
        <v>IST-Gestehungskosten  2028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</row>
    <row r="16" spans="1:25" x14ac:dyDescent="0.3">
      <c r="A16" s="1"/>
      <c r="B16" s="412" t="s">
        <v>5</v>
      </c>
      <c r="C16" s="161" t="s">
        <v>6</v>
      </c>
      <c r="D16" s="20">
        <f>IF(C12&lt;&gt;"",C12,"")</f>
        <v>46753</v>
      </c>
      <c r="E16" s="21" t="s">
        <v>3</v>
      </c>
      <c r="F16" s="20">
        <f>IF(E12&lt;&gt;"",E12,"")</f>
        <v>47118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</row>
    <row r="17" spans="1:25" ht="44.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13</v>
      </c>
      <c r="J17" s="416" t="s">
        <v>14</v>
      </c>
      <c r="K17" s="41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</row>
    <row r="18" spans="1:25" s="30" customFormat="1" ht="18" customHeight="1" thickBot="1" x14ac:dyDescent="0.4">
      <c r="A18" s="25"/>
      <c r="B18" s="26" t="s">
        <v>15</v>
      </c>
      <c r="C18" s="27">
        <v>1950000</v>
      </c>
      <c r="D18" s="248">
        <v>1799000</v>
      </c>
      <c r="E18" s="85">
        <f>E29</f>
        <v>15710</v>
      </c>
      <c r="F18" s="85">
        <f>F29</f>
        <v>13900</v>
      </c>
      <c r="G18" s="253">
        <f>F18/E18</f>
        <v>0.88478676002546153</v>
      </c>
      <c r="H18" s="28">
        <f>C18/E18/10</f>
        <v>12.412476129853596</v>
      </c>
      <c r="I18" s="28">
        <f>D18/F18/10</f>
        <v>12.942446043165466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</row>
    <row r="19" spans="1:25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</row>
    <row r="22" spans="1:25" ht="15" customHeight="1" x14ac:dyDescent="0.3">
      <c r="A22" s="1"/>
      <c r="B22" s="42" t="s">
        <v>20</v>
      </c>
      <c r="C22" s="43">
        <v>210000</v>
      </c>
      <c r="D22" s="43">
        <v>170000</v>
      </c>
      <c r="E22" s="43">
        <v>2800</v>
      </c>
      <c r="F22" s="43">
        <v>2000</v>
      </c>
      <c r="G22" s="44">
        <f>E22/(E22+E25)</f>
        <v>0.17177914110429449</v>
      </c>
      <c r="H22" s="45">
        <f t="shared" ref="H22:I29" si="0">C22/E22/10</f>
        <v>7.5</v>
      </c>
      <c r="I22" s="45">
        <f t="shared" si="0"/>
        <v>8.5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</row>
    <row r="23" spans="1:25" ht="15" customHeight="1" x14ac:dyDescent="0.3">
      <c r="A23" s="1"/>
      <c r="B23" s="46" t="s">
        <v>21</v>
      </c>
      <c r="C23" s="43">
        <v>210000</v>
      </c>
      <c r="D23" s="43">
        <v>170000</v>
      </c>
      <c r="E23" s="43">
        <v>2800</v>
      </c>
      <c r="F23" s="43">
        <v>2000</v>
      </c>
      <c r="G23" s="47">
        <f>F23/E23</f>
        <v>0.7142857142857143</v>
      </c>
      <c r="H23" s="48">
        <f>C23/E23/10</f>
        <v>7.5</v>
      </c>
      <c r="I23" s="48">
        <f>D23/F23/10</f>
        <v>8.5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</row>
    <row r="24" spans="1:25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</row>
    <row r="25" spans="1:25" ht="15" customHeight="1" x14ac:dyDescent="0.3">
      <c r="A25" s="50"/>
      <c r="B25" s="42" t="s">
        <v>25</v>
      </c>
      <c r="C25" s="43">
        <v>1750000</v>
      </c>
      <c r="D25" s="43">
        <v>1600000</v>
      </c>
      <c r="E25" s="43">
        <v>13500</v>
      </c>
      <c r="F25" s="43">
        <v>11900</v>
      </c>
      <c r="G25" s="44">
        <f>E25/(E22+E25)</f>
        <v>0.82822085889570551</v>
      </c>
      <c r="H25" s="45">
        <f t="shared" si="0"/>
        <v>12.962962962962962</v>
      </c>
      <c r="I25" s="45">
        <f t="shared" si="0"/>
        <v>13.445378151260504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</row>
    <row r="26" spans="1:25" ht="15" customHeight="1" x14ac:dyDescent="0.3">
      <c r="A26" s="50"/>
      <c r="B26" s="46" t="s">
        <v>21</v>
      </c>
      <c r="C26" s="43">
        <v>420000</v>
      </c>
      <c r="D26" s="43">
        <v>420000</v>
      </c>
      <c r="E26" s="43">
        <v>2950</v>
      </c>
      <c r="F26" s="43">
        <v>2950</v>
      </c>
      <c r="G26" s="47">
        <f>F26/E26</f>
        <v>1</v>
      </c>
      <c r="H26" s="48">
        <f>C26/E26/10</f>
        <v>14.237288135593221</v>
      </c>
      <c r="I26" s="48">
        <f>D26/F26/10</f>
        <v>14.237288135593221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</row>
    <row r="27" spans="1:25" ht="15" customHeight="1" x14ac:dyDescent="0.3">
      <c r="A27" s="51"/>
      <c r="B27" s="42" t="s">
        <v>26</v>
      </c>
      <c r="C27" s="43">
        <v>36500</v>
      </c>
      <c r="D27" s="43">
        <v>31000</v>
      </c>
      <c r="E27" s="43">
        <f>E25-E26</f>
        <v>10550</v>
      </c>
      <c r="F27" s="43">
        <f>F25-F26</f>
        <v>8950</v>
      </c>
      <c r="G27" s="47">
        <f>F27/E27</f>
        <v>0.84834123222748814</v>
      </c>
      <c r="H27" s="45">
        <f>C27/E27/10</f>
        <v>0.34597156398104267</v>
      </c>
      <c r="I27" s="45">
        <f>D27/F27/10</f>
        <v>0.34636871508379891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</row>
    <row r="28" spans="1:25" s="30" customFormat="1" x14ac:dyDescent="0.35">
      <c r="A28" s="51"/>
      <c r="B28" s="52" t="s">
        <v>27</v>
      </c>
      <c r="C28" s="53">
        <v>-70000</v>
      </c>
      <c r="D28" s="54"/>
      <c r="E28" s="53">
        <v>-590</v>
      </c>
      <c r="F28" s="54"/>
      <c r="G28" s="55">
        <f>E28/(E22+E25)</f>
        <v>-3.6196319018404907E-2</v>
      </c>
      <c r="H28" s="56">
        <f t="shared" si="0"/>
        <v>11.864406779661017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</row>
    <row r="29" spans="1:25" s="30" customFormat="1" ht="18" customHeight="1" x14ac:dyDescent="0.35">
      <c r="A29" s="51"/>
      <c r="B29" s="57" t="s">
        <v>28</v>
      </c>
      <c r="C29" s="54">
        <f>C22+C25+C27+C28</f>
        <v>1926500</v>
      </c>
      <c r="D29" s="54">
        <f>D22+D25+D27</f>
        <v>1801000</v>
      </c>
      <c r="E29" s="54">
        <f>E22+E25+E28</f>
        <v>15710</v>
      </c>
      <c r="F29" s="54">
        <f>F22+F25</f>
        <v>13900</v>
      </c>
      <c r="G29" s="55">
        <f>G22+G25+G28</f>
        <v>0.96380368098159508</v>
      </c>
      <c r="H29" s="56">
        <f t="shared" si="0"/>
        <v>12.262889879057925</v>
      </c>
      <c r="I29" s="56">
        <f t="shared" si="0"/>
        <v>12.956834532374099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</row>
    <row r="30" spans="1:25" ht="15" customHeight="1" x14ac:dyDescent="0.3">
      <c r="A30" s="58"/>
      <c r="B30" s="59" t="s">
        <v>29</v>
      </c>
      <c r="C30" s="60">
        <v>55800</v>
      </c>
      <c r="D30" s="60">
        <v>52000</v>
      </c>
      <c r="E30" s="61"/>
      <c r="F30" s="61"/>
      <c r="G30" s="62"/>
      <c r="H30" s="63">
        <f>C30/E29/10</f>
        <v>0.35518777848504135</v>
      </c>
      <c r="I30" s="63">
        <f>D30/F29/10</f>
        <v>0.37410071942446044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</row>
    <row r="31" spans="1:25" ht="15" customHeight="1" x14ac:dyDescent="0.3">
      <c r="B31" s="42" t="s">
        <v>30</v>
      </c>
      <c r="C31" s="64"/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</row>
    <row r="32" spans="1:25" ht="15" customHeight="1" x14ac:dyDescent="0.3">
      <c r="A32" s="58"/>
      <c r="B32" s="42" t="s">
        <v>31</v>
      </c>
      <c r="C32" s="67"/>
      <c r="D32" s="43">
        <v>56000</v>
      </c>
      <c r="E32" s="67"/>
      <c r="F32" s="67"/>
      <c r="G32" s="68"/>
      <c r="H32" s="45">
        <f>C32/E29/10</f>
        <v>0</v>
      </c>
      <c r="I32" s="45">
        <f>D32/F29/10</f>
        <v>0.40287769784172661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</row>
    <row r="33" spans="1:25" s="30" customFormat="1" ht="18" customHeight="1" x14ac:dyDescent="0.3">
      <c r="A33" s="25"/>
      <c r="B33" s="57" t="s">
        <v>32</v>
      </c>
      <c r="C33" s="54">
        <f>C29+C30+C31</f>
        <v>1982300</v>
      </c>
      <c r="D33" s="54">
        <f>D29+D30+D31+D32</f>
        <v>1909000</v>
      </c>
      <c r="E33" s="54">
        <f>E29</f>
        <v>15710</v>
      </c>
      <c r="F33" s="54">
        <f>F29</f>
        <v>13900</v>
      </c>
      <c r="G33" s="55">
        <f>G29</f>
        <v>0.96380368098159508</v>
      </c>
      <c r="H33" s="56">
        <f>C33/E33/10</f>
        <v>12.618077657542965</v>
      </c>
      <c r="I33" s="56">
        <f>D33/F33/10</f>
        <v>13.733812949640287</v>
      </c>
      <c r="J33" s="423" t="str">
        <f>IFERROR(VLOOKUP(N32,#REF!,4,FALSE),"")</f>
        <v/>
      </c>
      <c r="K33" s="424"/>
      <c r="L33" s="234"/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</row>
    <row r="34" spans="1:25" ht="18" customHeight="1" thickBot="1" x14ac:dyDescent="0.35">
      <c r="A34" s="1"/>
      <c r="B34" s="69" t="s">
        <v>33</v>
      </c>
      <c r="C34" s="70"/>
      <c r="D34" s="71">
        <f>'DD Energie 2027'!F139</f>
        <v>-25702.980550220043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</row>
    <row r="35" spans="1:25" ht="18" customHeight="1" thickBot="1" x14ac:dyDescent="0.35">
      <c r="B35" s="69" t="s">
        <v>34</v>
      </c>
      <c r="C35" s="74"/>
      <c r="D35" s="74">
        <f>D34+D33</f>
        <v>1883297.01944978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</row>
    <row r="36" spans="1:25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2028 (+ Überdeckung)</v>
      </c>
      <c r="C37" s="430"/>
      <c r="D37" s="77">
        <f>D18-D35</f>
        <v>-84297.019449779997</v>
      </c>
      <c r="E37" s="440" t="str">
        <f>IF(D37=0,"",IF(D37&gt;0,"Dieser Betrag muss den Endkunden gutgeschrieben werden.","Dieser Betrag kann den Endkunden verrechnet werden."))</f>
        <v>Dieser Betrag kann den Endkunden verrechnet werden.</v>
      </c>
      <c r="F37" s="441"/>
      <c r="G37" s="441"/>
      <c r="H37" s="441"/>
      <c r="I37" s="441"/>
      <c r="J37" s="441"/>
      <c r="K37" s="442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</row>
    <row r="38" spans="1:25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</row>
    <row r="39" spans="1:25" x14ac:dyDescent="0.3">
      <c r="A39" s="1"/>
      <c r="B39" s="12"/>
      <c r="C39" s="49"/>
      <c r="D39" s="49"/>
      <c r="E39" s="32"/>
      <c r="F39" s="31"/>
      <c r="G39" s="31"/>
      <c r="H39" s="31"/>
      <c r="I39" s="31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</row>
    <row r="40" spans="1:25" ht="15.5" x14ac:dyDescent="0.35">
      <c r="A40" s="1"/>
      <c r="B40" s="3" t="s">
        <v>35</v>
      </c>
      <c r="C40" s="49"/>
      <c r="D40" s="49"/>
      <c r="E40" s="32"/>
      <c r="F40" s="31"/>
      <c r="G40" s="49"/>
      <c r="H40" s="49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</row>
    <row r="41" spans="1:25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</row>
    <row r="42" spans="1:25" s="30" customFormat="1" ht="18" customHeight="1" thickBot="1" x14ac:dyDescent="0.4">
      <c r="A42" s="25"/>
      <c r="B42" s="159" t="s">
        <v>39</v>
      </c>
      <c r="C42" s="330"/>
      <c r="D42" s="390">
        <v>0</v>
      </c>
      <c r="E42" s="431"/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</row>
    <row r="43" spans="1:25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</row>
    <row r="44" spans="1:25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</row>
    <row r="45" spans="1:25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</row>
    <row r="46" spans="1:25" s="84" customFormat="1" ht="15" customHeight="1" x14ac:dyDescent="0.35">
      <c r="A46" s="83"/>
      <c r="B46" s="434" t="s">
        <v>81</v>
      </c>
      <c r="C46" s="435"/>
      <c r="D46" s="315"/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</row>
    <row r="47" spans="1:25" s="84" customFormat="1" ht="15" customHeight="1" x14ac:dyDescent="0.35">
      <c r="A47" s="83"/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</row>
    <row r="48" spans="1:25" s="84" customFormat="1" ht="15" customHeight="1" thickBot="1" x14ac:dyDescent="0.4">
      <c r="A48" s="83"/>
      <c r="B48" s="418" t="s">
        <v>42</v>
      </c>
      <c r="C48" s="419"/>
      <c r="D48" s="85">
        <f>SUM(D46:D47)</f>
        <v>0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</row>
    <row r="49" spans="1:25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</row>
    <row r="50" spans="1:25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</row>
    <row r="51" spans="1:25" s="84" customFormat="1" ht="15" customHeight="1" thickBot="1" x14ac:dyDescent="0.4">
      <c r="A51" s="83"/>
      <c r="B51" s="449" t="s">
        <v>44</v>
      </c>
      <c r="C51" s="450"/>
      <c r="D51" s="89">
        <f>D37+D42+D48</f>
        <v>-84297.019449779997</v>
      </c>
      <c r="E51" s="451" t="str">
        <f>IF(D51=0,"",IF(D51&gt;0,"Dieser Betrag muss den Endkunden gutgeschrieben werden.","Dieser Betrag kann den Endkunden verrechnet werden."))</f>
        <v>Dieser Betrag kann den Endkunden verrechnet werden.</v>
      </c>
      <c r="F51" s="452"/>
      <c r="G51" s="452"/>
      <c r="H51" s="452"/>
      <c r="I51" s="452"/>
      <c r="J51" s="452"/>
      <c r="K51" s="45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</row>
    <row r="52" spans="1:25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</row>
    <row r="53" spans="1:25" s="84" customFormat="1" ht="7.5" customHeight="1" x14ac:dyDescent="0.35">
      <c r="B53" s="90"/>
      <c r="C53" s="90"/>
      <c r="D53" s="91"/>
      <c r="E53" s="470"/>
      <c r="F53" s="470"/>
      <c r="G53" s="470"/>
      <c r="H53" s="470"/>
      <c r="I53" s="470"/>
      <c r="J53" s="470"/>
      <c r="K53" s="470"/>
      <c r="L53" s="238"/>
      <c r="M53" s="238"/>
      <c r="N53" s="233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</row>
    <row r="54" spans="1:25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</row>
    <row r="55" spans="1:25" s="11" customFormat="1" ht="15" customHeight="1" thickBot="1" x14ac:dyDescent="0.3">
      <c r="A55" s="10"/>
      <c r="B55" s="429" t="s">
        <v>159</v>
      </c>
      <c r="C55" s="457"/>
      <c r="D55" s="163">
        <v>2.8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</row>
    <row r="56" spans="1:25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</row>
    <row r="57" spans="1:25" s="84" customFormat="1" ht="15" customHeight="1" x14ac:dyDescent="0.35">
      <c r="B57" s="90"/>
      <c r="C57" s="98"/>
      <c r="D57" s="91"/>
      <c r="E57" s="463"/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</row>
    <row r="58" spans="1:25" s="84" customFormat="1" ht="14.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</row>
    <row r="59" spans="1:25" hidden="1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</row>
    <row r="60" spans="1:25" hidden="1" x14ac:dyDescent="0.3"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</row>
    <row r="61" spans="1:25" collapsed="1" x14ac:dyDescent="0.3">
      <c r="W61" s="103"/>
    </row>
    <row r="62" spans="1:25" s="176" customFormat="1" ht="28.5" hidden="1" customHeight="1" outlineLevel="1" x14ac:dyDescent="0.3">
      <c r="A62" s="99" t="s">
        <v>147</v>
      </c>
      <c r="B62" s="174"/>
      <c r="C62" s="174"/>
      <c r="D62" s="174"/>
      <c r="E62" s="174"/>
      <c r="F62" s="174"/>
      <c r="G62" s="174"/>
      <c r="H62" s="174"/>
      <c r="I62" s="175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03"/>
    </row>
    <row r="63" spans="1:25" s="102" customFormat="1" ht="13" hidden="1" customHeight="1" outlineLevel="1" x14ac:dyDescent="0.35">
      <c r="A63" s="170"/>
      <c r="I63" s="173"/>
    </row>
    <row r="64" spans="1:25" ht="28.5" hidden="1" outlineLevel="1" x14ac:dyDescent="0.35">
      <c r="A64" s="162"/>
      <c r="B64" s="283" t="s">
        <v>144</v>
      </c>
      <c r="F64" s="14"/>
      <c r="G64" s="103"/>
      <c r="H64" s="103"/>
      <c r="I64" s="164" t="s">
        <v>82</v>
      </c>
      <c r="J64" s="103"/>
      <c r="K64" s="103"/>
      <c r="L64" s="103"/>
      <c r="M64" s="164" t="s">
        <v>83</v>
      </c>
      <c r="N64" s="224"/>
      <c r="O64" s="103"/>
      <c r="P64" s="103"/>
      <c r="Q64" s="164" t="s">
        <v>84</v>
      </c>
      <c r="R64" s="224"/>
      <c r="S64" s="9"/>
      <c r="U64" s="164" t="s">
        <v>86</v>
      </c>
    </row>
    <row r="65" spans="1:24" ht="17.5" hidden="1" outlineLevel="1" x14ac:dyDescent="0.35">
      <c r="A65" s="162"/>
      <c r="F65" s="14">
        <v>4</v>
      </c>
      <c r="G65" s="103"/>
      <c r="H65" s="103"/>
      <c r="I65" s="103"/>
      <c r="J65" s="103"/>
      <c r="K65" s="103"/>
      <c r="L65" s="103"/>
      <c r="M65" s="255"/>
      <c r="N65" s="224"/>
      <c r="O65" s="103"/>
      <c r="P65" s="103"/>
      <c r="Q65" s="255"/>
      <c r="R65" s="224"/>
      <c r="S65" s="9"/>
    </row>
    <row r="66" spans="1:24" ht="14.5" hidden="1" outlineLevel="1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K66" s="103"/>
      <c r="L66" s="103"/>
      <c r="M66" s="103"/>
      <c r="N66" s="254" t="s">
        <v>116</v>
      </c>
      <c r="O66" s="103"/>
      <c r="P66" s="103"/>
      <c r="Q66" s="103"/>
      <c r="R66" s="254" t="s">
        <v>116</v>
      </c>
      <c r="S66" s="9"/>
      <c r="T66" s="9"/>
      <c r="U66" s="9"/>
    </row>
    <row r="67" spans="1:24" ht="16" hidden="1" outlineLevel="1" thickBot="1" x14ac:dyDescent="0.4">
      <c r="B67" s="3" t="s">
        <v>149</v>
      </c>
      <c r="C67" s="81">
        <v>1</v>
      </c>
      <c r="D67" s="14">
        <v>2</v>
      </c>
      <c r="E67" s="14">
        <v>3</v>
      </c>
      <c r="F67" s="193">
        <f>'DD Energie 2024'!F67</f>
        <v>3.98</v>
      </c>
      <c r="G67" s="106">
        <v>5</v>
      </c>
      <c r="H67" s="106">
        <v>6</v>
      </c>
      <c r="I67" s="106">
        <v>7</v>
      </c>
      <c r="J67" s="193">
        <f>'DD Energie 2024'!J67</f>
        <v>3.98</v>
      </c>
      <c r="K67" s="103"/>
      <c r="L67" s="14">
        <v>8</v>
      </c>
      <c r="M67" s="103"/>
      <c r="N67" s="193">
        <f>'DD Energie 2025'!N67</f>
        <v>4.13</v>
      </c>
      <c r="O67" s="103"/>
      <c r="P67" s="103"/>
      <c r="Q67" s="103"/>
      <c r="R67" s="193">
        <f>'DD Energie 2026'!R67</f>
        <v>3.5</v>
      </c>
      <c r="S67" s="9"/>
      <c r="T67" s="9"/>
      <c r="U67" s="9"/>
      <c r="V67" s="14"/>
      <c r="W67" s="104"/>
    </row>
    <row r="68" spans="1:24" ht="25.5" hidden="1" outlineLevel="1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hidden="1" outlineLevel="1" x14ac:dyDescent="0.3">
      <c r="A69" s="114"/>
      <c r="B69" s="461"/>
      <c r="C69" s="115" t="s">
        <v>80</v>
      </c>
      <c r="D69" s="198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hidden="1" outlineLevel="1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8" hidden="1" customHeight="1" outlineLevel="1" thickBot="1" x14ac:dyDescent="0.35">
      <c r="B71" s="126" t="s">
        <v>119</v>
      </c>
      <c r="C71" s="195">
        <f>'DD Energie 2024'!C71</f>
        <v>6000</v>
      </c>
      <c r="D71" s="195">
        <f>'DD Energie 2024'!D71</f>
        <v>-1000</v>
      </c>
      <c r="E71" s="195">
        <f>'DD Energie 2024'!E71</f>
        <v>5000</v>
      </c>
      <c r="F71" s="195">
        <f>'DD Energie 2024'!F71</f>
        <v>199</v>
      </c>
      <c r="G71" s="195">
        <f>'DD Energie 2024'!G71</f>
        <v>5199</v>
      </c>
      <c r="H71" s="195">
        <f>'DD Energie 2024'!H71</f>
        <v>-2000</v>
      </c>
      <c r="I71" s="205">
        <f>'DD Energie 2024'!I71</f>
        <v>3199</v>
      </c>
      <c r="J71" s="169">
        <f>'DD Energie 2024'!J71</f>
        <v>127.3202</v>
      </c>
      <c r="K71" s="147">
        <f>'DD Energie 2024'!K71</f>
        <v>3326.3202000000001</v>
      </c>
      <c r="L71" s="147">
        <f>'DD Energie 2024'!L71</f>
        <v>-1159</v>
      </c>
      <c r="M71" s="205">
        <f>'DD Energie 2024'!M71</f>
        <v>2167.3202000000001</v>
      </c>
      <c r="N71" s="169">
        <f>'DD Energie 2025'!N71</f>
        <v>89.51032425999999</v>
      </c>
      <c r="O71" s="147">
        <f>'DD Energie 2025'!O71</f>
        <v>2256.8305242599999</v>
      </c>
      <c r="P71" s="147">
        <f>'DD Energie 2025'!P71</f>
        <v>-1126.7897719800001</v>
      </c>
      <c r="Q71" s="210">
        <f>'DD Energie 2025'!Q71</f>
        <v>1130.0407522799999</v>
      </c>
      <c r="R71" s="169">
        <f>'DD Energie 2026'!R71</f>
        <v>39.551426329800002</v>
      </c>
      <c r="S71" s="147">
        <f>'DD Energie 2026'!S71</f>
        <v>1169.5921786097999</v>
      </c>
      <c r="T71" s="196">
        <f>'DD Energie 2026'!T71</f>
        <v>-1176.7114353491638</v>
      </c>
      <c r="U71" s="281">
        <f>'DD Energie 2027'!U71</f>
        <v>0</v>
      </c>
      <c r="V71" s="154"/>
    </row>
    <row r="72" spans="1:24" hidden="1" outlineLevel="1" x14ac:dyDescent="0.3">
      <c r="B72" s="188" t="s">
        <v>91</v>
      </c>
      <c r="D72" s="151"/>
      <c r="E72" s="31"/>
      <c r="F72" s="31"/>
      <c r="J72" s="31"/>
      <c r="K72" s="172"/>
      <c r="L72" s="172"/>
      <c r="P72" s="192">
        <f>'DD Energie 2025'!P72</f>
        <v>0</v>
      </c>
      <c r="Q72" s="167"/>
      <c r="T72" s="192">
        <f>'DD Energie 2026'!T72</f>
        <v>0</v>
      </c>
      <c r="U72" s="104"/>
    </row>
    <row r="73" spans="1:24" ht="24" hidden="1" customHeight="1" outlineLevel="1" x14ac:dyDescent="0.3"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133"/>
    </row>
    <row r="74" spans="1:24" hidden="1" outlineLevel="1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133"/>
    </row>
    <row r="75" spans="1:24" s="102" customFormat="1" ht="28.5" customHeight="1" x14ac:dyDescent="0.35">
      <c r="A75" s="99" t="s">
        <v>148</v>
      </c>
      <c r="B75" s="100"/>
      <c r="C75" s="100"/>
      <c r="D75" s="100"/>
      <c r="E75" s="100"/>
      <c r="F75" s="100"/>
      <c r="G75" s="100"/>
      <c r="H75" s="101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4" s="102" customFormat="1" ht="14.9" customHeight="1" x14ac:dyDescent="0.35">
      <c r="A76" s="177"/>
      <c r="G76" s="173"/>
    </row>
    <row r="77" spans="1:24" s="102" customFormat="1" ht="28.5" customHeight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86</v>
      </c>
      <c r="Q77" s="164" t="s">
        <v>87</v>
      </c>
    </row>
    <row r="78" spans="1:24" s="84" customFormat="1" ht="15" customHeight="1" x14ac:dyDescent="0.3">
      <c r="B78" s="90"/>
      <c r="C78" s="90"/>
      <c r="D78" s="465"/>
      <c r="E78" s="135"/>
      <c r="F78" s="224"/>
      <c r="G78" s="95"/>
      <c r="H78" s="183"/>
      <c r="I78" s="95"/>
      <c r="J78" s="224"/>
      <c r="K78" s="95"/>
      <c r="N78" s="224"/>
    </row>
    <row r="79" spans="1:24" ht="14.5" thickBot="1" x14ac:dyDescent="0.35">
      <c r="B79" s="31"/>
      <c r="C79" s="180"/>
      <c r="D79" s="254" t="s">
        <v>116</v>
      </c>
      <c r="E79" s="31"/>
      <c r="F79" s="254" t="s">
        <v>116</v>
      </c>
      <c r="G79" s="31"/>
      <c r="J79" s="254" t="s">
        <v>116</v>
      </c>
      <c r="N79" s="254" t="s">
        <v>116</v>
      </c>
    </row>
    <row r="80" spans="1:24" ht="16" thickBot="1" x14ac:dyDescent="0.4">
      <c r="A80" s="136"/>
      <c r="B80" s="3" t="s">
        <v>66</v>
      </c>
      <c r="C80" s="14"/>
      <c r="D80" s="193">
        <f>'DD Energie 2024'!$D$81</f>
        <v>2.25</v>
      </c>
      <c r="E80" s="14"/>
      <c r="F80" s="193">
        <f>'DD Energie 2025'!F81</f>
        <v>2.25</v>
      </c>
      <c r="G80" s="31"/>
      <c r="H80" s="184"/>
      <c r="I80" s="14"/>
      <c r="J80" s="193">
        <f>'DD Energie 2026'!$J$81</f>
        <v>2.25</v>
      </c>
      <c r="K80" s="137"/>
      <c r="L80" s="137"/>
      <c r="M80" s="137"/>
      <c r="N80" s="193">
        <f>'DD Energie 2027'!N80</f>
        <v>2.65</v>
      </c>
      <c r="O80" s="14"/>
      <c r="P80" s="14"/>
      <c r="Q80" s="14"/>
      <c r="R80" s="14"/>
    </row>
    <row r="81" spans="1:19" s="103" customFormat="1" ht="28.4" customHeight="1" x14ac:dyDescent="0.3">
      <c r="A81" s="136"/>
      <c r="B81" s="460"/>
      <c r="C81" s="138" t="s">
        <v>46</v>
      </c>
      <c r="D81" s="111" t="s">
        <v>48</v>
      </c>
      <c r="E81" s="245" t="s">
        <v>106</v>
      </c>
      <c r="F81" s="110" t="s">
        <v>48</v>
      </c>
      <c r="G81" s="111" t="s">
        <v>106</v>
      </c>
      <c r="H81" s="112" t="s">
        <v>51</v>
      </c>
      <c r="I81" s="207" t="s">
        <v>61</v>
      </c>
      <c r="J81" s="110" t="s">
        <v>48</v>
      </c>
      <c r="K81" s="111" t="s">
        <v>106</v>
      </c>
      <c r="L81" s="112" t="s">
        <v>51</v>
      </c>
      <c r="M81" s="207" t="s">
        <v>52</v>
      </c>
      <c r="N81" s="110" t="s">
        <v>48</v>
      </c>
      <c r="O81" s="111" t="s">
        <v>106</v>
      </c>
      <c r="P81" s="150" t="s">
        <v>51</v>
      </c>
      <c r="Q81" s="156" t="s">
        <v>154</v>
      </c>
      <c r="R81" s="113"/>
    </row>
    <row r="82" spans="1:19" s="103" customFormat="1" ht="14.25" customHeight="1" x14ac:dyDescent="0.3">
      <c r="A82" s="136"/>
      <c r="B82" s="461"/>
      <c r="C82" s="139" t="s">
        <v>109</v>
      </c>
      <c r="D82" s="124" t="s">
        <v>55</v>
      </c>
      <c r="E82" s="211" t="s">
        <v>58</v>
      </c>
      <c r="F82" s="123" t="s">
        <v>55</v>
      </c>
      <c r="G82" s="124" t="s">
        <v>59</v>
      </c>
      <c r="H82" s="121" t="str">
        <f>"Tarife "&amp; C8-2</f>
        <v>Tarife 2026</v>
      </c>
      <c r="I82" s="213" t="s">
        <v>57</v>
      </c>
      <c r="J82" s="123" t="s">
        <v>55</v>
      </c>
      <c r="K82" s="124" t="s">
        <v>60</v>
      </c>
      <c r="L82" s="121" t="str">
        <f>"Tarife "&amp; C8-1</f>
        <v>Tarife 2027</v>
      </c>
      <c r="M82" s="213" t="s">
        <v>57</v>
      </c>
      <c r="N82" s="123" t="s">
        <v>55</v>
      </c>
      <c r="O82" s="124" t="s">
        <v>62</v>
      </c>
      <c r="P82" s="152" t="str">
        <f>"Tarife "&amp; C8</f>
        <v>Tarife 2028</v>
      </c>
      <c r="Q82" s="157" t="s">
        <v>53</v>
      </c>
      <c r="R82" s="122"/>
    </row>
    <row r="83" spans="1:19" s="103" customFormat="1" ht="14.25" customHeight="1" x14ac:dyDescent="0.3">
      <c r="A83" s="136"/>
      <c r="B83" s="461"/>
      <c r="C83" s="139"/>
      <c r="D83" s="124"/>
      <c r="E83" s="211"/>
      <c r="F83" s="123"/>
      <c r="G83" s="124"/>
      <c r="H83" s="121" t="s">
        <v>63</v>
      </c>
      <c r="I83" s="213"/>
      <c r="J83" s="123"/>
      <c r="K83" s="124"/>
      <c r="L83" s="121" t="s">
        <v>64</v>
      </c>
      <c r="M83" s="213"/>
      <c r="N83" s="123"/>
      <c r="O83" s="124"/>
      <c r="P83" s="152" t="s">
        <v>65</v>
      </c>
      <c r="Q83" s="158"/>
      <c r="R83" s="122"/>
    </row>
    <row r="84" spans="1:19" s="103" customFormat="1" ht="14.25" customHeight="1" thickBot="1" x14ac:dyDescent="0.35">
      <c r="A84" s="136"/>
      <c r="B84" s="461"/>
      <c r="C84" s="139" t="s">
        <v>38</v>
      </c>
      <c r="D84" s="124" t="s">
        <v>38</v>
      </c>
      <c r="E84" s="211" t="s">
        <v>38</v>
      </c>
      <c r="F84" s="123" t="s">
        <v>38</v>
      </c>
      <c r="G84" s="124" t="s">
        <v>38</v>
      </c>
      <c r="H84" s="121" t="s">
        <v>38</v>
      </c>
      <c r="I84" s="213" t="s">
        <v>38</v>
      </c>
      <c r="J84" s="123" t="s">
        <v>38</v>
      </c>
      <c r="K84" s="124" t="s">
        <v>38</v>
      </c>
      <c r="L84" s="121" t="s">
        <v>38</v>
      </c>
      <c r="M84" s="213" t="s">
        <v>38</v>
      </c>
      <c r="N84" s="123" t="s">
        <v>38</v>
      </c>
      <c r="O84" s="124" t="s">
        <v>38</v>
      </c>
      <c r="P84" s="152" t="s">
        <v>38</v>
      </c>
      <c r="Q84" s="158" t="s">
        <v>38</v>
      </c>
      <c r="R84" s="125" t="s">
        <v>14</v>
      </c>
    </row>
    <row r="85" spans="1:19" s="171" customFormat="1" ht="28" customHeight="1" thickBot="1" x14ac:dyDescent="0.35">
      <c r="A85" s="103"/>
      <c r="B85" s="182" t="str">
        <f>"Übersicht DD 2024 bis Abbau Null "</f>
        <v xml:space="preserve">Übersicht DD 2024 bis Abbau Null </v>
      </c>
      <c r="C85" s="189">
        <f>'DD Energie 2024'!C86</f>
        <v>-36000</v>
      </c>
      <c r="D85" s="189">
        <f>'DD Energie 2024'!D86</f>
        <v>-810</v>
      </c>
      <c r="E85" s="212">
        <f>'DD Energie 2024'!E86</f>
        <v>-36810</v>
      </c>
      <c r="F85" s="169">
        <f>'DD Energie 2025'!F86</f>
        <v>-828.22500000000002</v>
      </c>
      <c r="G85" s="147">
        <f>'DD Energie 2025'!G86</f>
        <v>-37638.224999999999</v>
      </c>
      <c r="H85" s="191">
        <f>'DD Energie 2025'!H86</f>
        <v>9420.0283541666668</v>
      </c>
      <c r="I85" s="210">
        <f>'DD Energie 2025'!I86</f>
        <v>-18218.196645833334</v>
      </c>
      <c r="J85" s="169">
        <f>'DD Energie 2026'!J86</f>
        <v>-409.90942453125001</v>
      </c>
      <c r="K85" s="147">
        <f>'DD Energie 2026'!K86</f>
        <v>-18628.106070364585</v>
      </c>
      <c r="L85" s="191">
        <f>'DD Energie 2026'!L86</f>
        <v>9314.0530351822927</v>
      </c>
      <c r="M85" s="205">
        <f>'DD Energie 2026'!M86</f>
        <v>-9314.0530351822927</v>
      </c>
      <c r="N85" s="169">
        <f>'DD Energie 2027'!N85</f>
        <v>-246.82240543233075</v>
      </c>
      <c r="O85" s="147">
        <f>'DD Energie 2027'!O85</f>
        <v>-9560.8754406146236</v>
      </c>
      <c r="P85" s="147">
        <f>'DD Energie 2027'!P85</f>
        <v>9523.6192284738936</v>
      </c>
      <c r="Q85" s="281">
        <f>'DD Energie 2027'!Q85+'DD Energie 2027'!G144</f>
        <v>0</v>
      </c>
      <c r="R85" s="154"/>
    </row>
    <row r="86" spans="1:19" x14ac:dyDescent="0.3">
      <c r="B86" s="188" t="s">
        <v>91</v>
      </c>
      <c r="C86" s="151"/>
      <c r="D86" s="31"/>
      <c r="F86" s="31"/>
      <c r="G86" s="31"/>
      <c r="H86" s="306">
        <f>'DD Energie 2025'!H87</f>
        <v>10000</v>
      </c>
      <c r="I86" s="151"/>
      <c r="L86" s="192">
        <f>'DD Energie 2026'!L87</f>
        <v>0</v>
      </c>
      <c r="P86" s="192">
        <f>'DD Energie 2027'!P86</f>
        <v>0</v>
      </c>
      <c r="Q86" s="104"/>
    </row>
    <row r="87" spans="1:19" ht="24.75" customHeight="1" x14ac:dyDescent="0.3">
      <c r="H87" s="186" t="s">
        <v>93</v>
      </c>
      <c r="I87" s="185"/>
      <c r="L87" s="186" t="s">
        <v>93</v>
      </c>
      <c r="P87" s="186" t="s">
        <v>93</v>
      </c>
    </row>
    <row r="88" spans="1:19" x14ac:dyDescent="0.3">
      <c r="H88" s="190"/>
      <c r="I88" s="185"/>
      <c r="L88" s="190"/>
      <c r="P88" s="190"/>
    </row>
    <row r="89" spans="1:19" x14ac:dyDescent="0.3">
      <c r="H89" s="190"/>
      <c r="I89" s="185"/>
      <c r="L89" s="190"/>
      <c r="P89" s="190"/>
    </row>
    <row r="90" spans="1:19" ht="15" customHeight="1" x14ac:dyDescent="0.3">
      <c r="H90" s="131"/>
      <c r="L90" s="131"/>
      <c r="P90" s="131"/>
    </row>
    <row r="91" spans="1:19" s="19" customFormat="1" ht="33" customHeight="1" x14ac:dyDescent="0.3">
      <c r="A91" s="178"/>
      <c r="B91" s="283" t="s">
        <v>144</v>
      </c>
      <c r="C91" s="141"/>
      <c r="E91" s="164" t="s">
        <v>103</v>
      </c>
      <c r="F91" s="104"/>
      <c r="I91" s="164" t="s">
        <v>86</v>
      </c>
      <c r="M91" s="164" t="s">
        <v>87</v>
      </c>
      <c r="Q91" s="164" t="s">
        <v>88</v>
      </c>
    </row>
    <row r="92" spans="1:19" s="19" customFormat="1" ht="18.649999999999999" customHeight="1" x14ac:dyDescent="0.3">
      <c r="A92" s="178"/>
      <c r="B92" s="178"/>
      <c r="C92" s="141"/>
      <c r="E92" s="329"/>
      <c r="F92" s="104"/>
      <c r="I92" s="329"/>
      <c r="M92" s="329"/>
      <c r="Q92" s="329"/>
    </row>
    <row r="93" spans="1:19" ht="14.5" thickBot="1" x14ac:dyDescent="0.35">
      <c r="B93" s="31"/>
      <c r="C93" s="180"/>
      <c r="D93" s="254" t="s">
        <v>116</v>
      </c>
      <c r="E93" s="31"/>
      <c r="F93" s="254" t="s">
        <v>116</v>
      </c>
      <c r="G93" s="31"/>
      <c r="J93" s="254" t="s">
        <v>116</v>
      </c>
      <c r="N93" s="254" t="s">
        <v>116</v>
      </c>
    </row>
    <row r="94" spans="1:19" s="19" customFormat="1" ht="16" thickBot="1" x14ac:dyDescent="0.4">
      <c r="A94" s="18"/>
      <c r="B94" s="3" t="s">
        <v>68</v>
      </c>
      <c r="C94" s="14"/>
      <c r="D94" s="193">
        <f>'DD Energie 2025'!D95</f>
        <v>2.25</v>
      </c>
      <c r="E94" s="14"/>
      <c r="F94" s="193">
        <f>'DD Energie 2026'!F95</f>
        <v>2.25</v>
      </c>
      <c r="G94" s="31"/>
      <c r="H94" s="184"/>
      <c r="I94" s="14"/>
      <c r="J94" s="193">
        <f>'DD Energie 2027'!J94</f>
        <v>2.65</v>
      </c>
      <c r="K94" s="137"/>
      <c r="L94" s="137"/>
      <c r="M94" s="137"/>
      <c r="N94" s="96">
        <f>D55</f>
        <v>2.8</v>
      </c>
      <c r="O94" s="18"/>
      <c r="P94" s="18"/>
      <c r="Q94" s="18"/>
      <c r="R94" s="14"/>
      <c r="S94" s="18"/>
    </row>
    <row r="95" spans="1:19" ht="25.5" x14ac:dyDescent="0.3">
      <c r="B95" s="460"/>
      <c r="C95" s="138" t="s">
        <v>46</v>
      </c>
      <c r="D95" s="111" t="s">
        <v>48</v>
      </c>
      <c r="E95" s="245" t="s">
        <v>106</v>
      </c>
      <c r="F95" s="110" t="s">
        <v>48</v>
      </c>
      <c r="G95" s="111" t="s">
        <v>106</v>
      </c>
      <c r="H95" s="112" t="s">
        <v>51</v>
      </c>
      <c r="I95" s="207" t="s">
        <v>52</v>
      </c>
      <c r="J95" s="110" t="s">
        <v>48</v>
      </c>
      <c r="K95" s="111" t="s">
        <v>106</v>
      </c>
      <c r="L95" s="112" t="s">
        <v>51</v>
      </c>
      <c r="M95" s="207" t="s">
        <v>52</v>
      </c>
      <c r="N95" s="110" t="s">
        <v>48</v>
      </c>
      <c r="O95" s="111" t="s">
        <v>106</v>
      </c>
      <c r="P95" s="150" t="s">
        <v>51</v>
      </c>
      <c r="Q95" s="156" t="s">
        <v>154</v>
      </c>
      <c r="R95" s="113"/>
    </row>
    <row r="96" spans="1:19" x14ac:dyDescent="0.3">
      <c r="B96" s="461"/>
      <c r="C96" s="139" t="s">
        <v>108</v>
      </c>
      <c r="D96" s="124" t="s">
        <v>55</v>
      </c>
      <c r="E96" s="211" t="s">
        <v>59</v>
      </c>
      <c r="F96" s="123" t="s">
        <v>55</v>
      </c>
      <c r="G96" s="124" t="s">
        <v>60</v>
      </c>
      <c r="H96" s="121" t="str">
        <f>"Tarife "&amp; C8-1</f>
        <v>Tarife 2027</v>
      </c>
      <c r="I96" s="213" t="s">
        <v>57</v>
      </c>
      <c r="J96" s="123" t="s">
        <v>55</v>
      </c>
      <c r="K96" s="124" t="s">
        <v>62</v>
      </c>
      <c r="L96" s="121" t="str">
        <f>"Tarife "&amp; C8</f>
        <v>Tarife 2028</v>
      </c>
      <c r="M96" s="213" t="s">
        <v>57</v>
      </c>
      <c r="N96" s="123" t="s">
        <v>55</v>
      </c>
      <c r="O96" s="124" t="s">
        <v>67</v>
      </c>
      <c r="P96" s="152" t="str">
        <f>"Tarife "&amp; C8+1</f>
        <v>Tarife 2029</v>
      </c>
      <c r="Q96" s="157" t="s">
        <v>53</v>
      </c>
      <c r="R96" s="122"/>
    </row>
    <row r="97" spans="1:18" x14ac:dyDescent="0.3">
      <c r="B97" s="461"/>
      <c r="C97" s="139"/>
      <c r="D97" s="124"/>
      <c r="E97" s="211"/>
      <c r="F97" s="123"/>
      <c r="G97" s="124"/>
      <c r="H97" s="121" t="s">
        <v>63</v>
      </c>
      <c r="I97" s="213"/>
      <c r="J97" s="123"/>
      <c r="K97" s="124"/>
      <c r="L97" s="121" t="s">
        <v>64</v>
      </c>
      <c r="M97" s="213"/>
      <c r="N97" s="123"/>
      <c r="O97" s="124"/>
      <c r="P97" s="152" t="s">
        <v>65</v>
      </c>
      <c r="Q97" s="158"/>
      <c r="R97" s="122"/>
    </row>
    <row r="98" spans="1:18" ht="14.5" thickBot="1" x14ac:dyDescent="0.35">
      <c r="B98" s="461"/>
      <c r="C98" s="139" t="s">
        <v>38</v>
      </c>
      <c r="D98" s="124" t="s">
        <v>38</v>
      </c>
      <c r="E98" s="211" t="s">
        <v>38</v>
      </c>
      <c r="F98" s="123" t="s">
        <v>38</v>
      </c>
      <c r="G98" s="124" t="s">
        <v>38</v>
      </c>
      <c r="H98" s="121" t="s">
        <v>38</v>
      </c>
      <c r="I98" s="213" t="s">
        <v>38</v>
      </c>
      <c r="J98" s="123" t="s">
        <v>38</v>
      </c>
      <c r="K98" s="124" t="s">
        <v>38</v>
      </c>
      <c r="L98" s="121" t="s">
        <v>38</v>
      </c>
      <c r="M98" s="213" t="s">
        <v>38</v>
      </c>
      <c r="N98" s="123" t="s">
        <v>38</v>
      </c>
      <c r="O98" s="124" t="s">
        <v>38</v>
      </c>
      <c r="P98" s="152" t="s">
        <v>38</v>
      </c>
      <c r="Q98" s="158" t="s">
        <v>38</v>
      </c>
      <c r="R98" s="125" t="s">
        <v>14</v>
      </c>
    </row>
    <row r="99" spans="1:18" s="171" customFormat="1" ht="28" customHeight="1" thickBot="1" x14ac:dyDescent="0.35">
      <c r="A99" s="103"/>
      <c r="B99" s="182" t="str">
        <f>"Übersicht DD 2025 bis Abbau Null "</f>
        <v xml:space="preserve">Übersicht DD 2025 bis Abbau Null </v>
      </c>
      <c r="C99" s="189">
        <f>'DD Energie 2025'!C100</f>
        <v>100001</v>
      </c>
      <c r="D99" s="189">
        <f>'DD Energie 2025'!D100</f>
        <v>2250.0225</v>
      </c>
      <c r="E99" s="212">
        <f>'DD Energie 2025'!E100</f>
        <v>102251.02250000001</v>
      </c>
      <c r="F99" s="169">
        <f>'DD Energie 2026'!F100</f>
        <v>2300.64800625</v>
      </c>
      <c r="G99" s="147">
        <f>'DD Energie 2026'!G100</f>
        <v>104551.67050625001</v>
      </c>
      <c r="H99" s="147">
        <f>'DD Energie 2026'!H100</f>
        <v>-35634.694364213545</v>
      </c>
      <c r="I99" s="210">
        <f>'DD Energie 2026'!I100</f>
        <v>68916.976142036467</v>
      </c>
      <c r="J99" s="169">
        <f>'DD Energie 2027'!J99</f>
        <v>1826.2998677639664</v>
      </c>
      <c r="K99" s="147">
        <f>'DD Energie 2027'!K99</f>
        <v>70743.276009800436</v>
      </c>
      <c r="L99" s="147">
        <f>'DD Energie 2027'!L99</f>
        <v>-35233.804052616142</v>
      </c>
      <c r="M99" s="205">
        <f>'DD Energie 2027'!M99</f>
        <v>35509.471957184294</v>
      </c>
      <c r="N99" s="169">
        <f>M99*(N94/100)</f>
        <v>994.26521480116014</v>
      </c>
      <c r="O99" s="147">
        <f>N99+M99</f>
        <v>36503.737171985456</v>
      </c>
      <c r="P99" s="196">
        <f>'DD Energie 2027'!P99</f>
        <v>-36450.472964049681</v>
      </c>
      <c r="Q99" s="281">
        <f>O99+P99+P100+Q100</f>
        <v>53.26420793577563</v>
      </c>
      <c r="R99" s="214"/>
    </row>
    <row r="100" spans="1:18" x14ac:dyDescent="0.3">
      <c r="B100" s="188" t="s">
        <v>91</v>
      </c>
      <c r="C100" s="31"/>
      <c r="D100" s="31"/>
      <c r="F100" s="31"/>
      <c r="G100" s="31"/>
      <c r="H100" s="192">
        <f>'DD Energie 2026'!H101</f>
        <v>0</v>
      </c>
      <c r="L100" s="192">
        <f>'DD Energie 2027'!L100</f>
        <v>0</v>
      </c>
      <c r="P100" s="192">
        <f>'DD Energie 2027'!P100</f>
        <v>0</v>
      </c>
      <c r="Q100" s="252"/>
      <c r="R100" s="333">
        <f>O99+P99+P100</f>
        <v>53.26420793577563</v>
      </c>
    </row>
    <row r="101" spans="1:18" ht="24.75" customHeight="1" x14ac:dyDescent="0.3">
      <c r="F101" s="31"/>
      <c r="G101" s="31"/>
      <c r="H101" s="186" t="s">
        <v>93</v>
      </c>
      <c r="L101" s="186" t="s">
        <v>93</v>
      </c>
      <c r="P101" s="186" t="s">
        <v>93</v>
      </c>
      <c r="Q101" s="186" t="s">
        <v>93</v>
      </c>
    </row>
    <row r="102" spans="1:18" x14ac:dyDescent="0.3">
      <c r="F102" s="31"/>
      <c r="G102" s="31"/>
      <c r="H102" s="190"/>
      <c r="L102" s="190"/>
      <c r="P102" s="190"/>
    </row>
    <row r="103" spans="1:18" x14ac:dyDescent="0.3">
      <c r="F103" s="31"/>
      <c r="G103" s="31"/>
      <c r="H103" s="190"/>
      <c r="L103" s="190"/>
      <c r="P103" s="190"/>
    </row>
    <row r="104" spans="1:18" ht="14.5" x14ac:dyDescent="0.35">
      <c r="F104" s="31"/>
      <c r="G104" s="31"/>
      <c r="H104" s="142"/>
    </row>
    <row r="105" spans="1:18" ht="28" x14ac:dyDescent="0.3">
      <c r="B105" s="283" t="s">
        <v>144</v>
      </c>
      <c r="E105" s="164" t="s">
        <v>100</v>
      </c>
      <c r="I105" s="164" t="s">
        <v>87</v>
      </c>
      <c r="M105" s="164" t="s">
        <v>88</v>
      </c>
      <c r="Q105" s="164" t="s">
        <v>89</v>
      </c>
    </row>
    <row r="106" spans="1:18" ht="30.75" customHeight="1" x14ac:dyDescent="0.3">
      <c r="F106" s="194"/>
      <c r="J106" s="194"/>
      <c r="N106" s="251" t="s">
        <v>140</v>
      </c>
    </row>
    <row r="107" spans="1:18" ht="14.5" thickBot="1" x14ac:dyDescent="0.35">
      <c r="B107" s="31"/>
      <c r="C107" s="180"/>
      <c r="D107" s="254" t="s">
        <v>116</v>
      </c>
      <c r="E107" s="31"/>
      <c r="F107" s="254" t="s">
        <v>116</v>
      </c>
      <c r="G107" s="31"/>
      <c r="J107" s="254" t="s">
        <v>116</v>
      </c>
      <c r="N107" s="254" t="s">
        <v>116</v>
      </c>
    </row>
    <row r="108" spans="1:18" ht="16" thickBot="1" x14ac:dyDescent="0.4">
      <c r="B108" s="3" t="s">
        <v>70</v>
      </c>
      <c r="C108" s="14"/>
      <c r="D108" s="193">
        <f>'DD Energie 2026'!D109</f>
        <v>2.25</v>
      </c>
      <c r="E108" s="14"/>
      <c r="F108" s="193">
        <f>'DD Energie 2027'!F108</f>
        <v>2.65</v>
      </c>
      <c r="G108" s="31"/>
      <c r="H108" s="184"/>
      <c r="I108" s="14"/>
      <c r="J108" s="96">
        <f>D55</f>
        <v>2.8</v>
      </c>
      <c r="K108" s="137"/>
      <c r="L108" s="137"/>
      <c r="M108" s="137"/>
      <c r="N108" s="96">
        <f>J108</f>
        <v>2.8</v>
      </c>
    </row>
    <row r="109" spans="1:18" ht="25.5" x14ac:dyDescent="0.3">
      <c r="B109" s="460"/>
      <c r="C109" s="138" t="s">
        <v>46</v>
      </c>
      <c r="D109" s="111" t="s">
        <v>48</v>
      </c>
      <c r="E109" s="245" t="s">
        <v>106</v>
      </c>
      <c r="F109" s="110" t="s">
        <v>48</v>
      </c>
      <c r="G109" s="111" t="s">
        <v>106</v>
      </c>
      <c r="H109" s="112" t="s">
        <v>51</v>
      </c>
      <c r="I109" s="207" t="s">
        <v>52</v>
      </c>
      <c r="J109" s="110" t="s">
        <v>48</v>
      </c>
      <c r="K109" s="111" t="s">
        <v>106</v>
      </c>
      <c r="L109" s="112" t="s">
        <v>51</v>
      </c>
      <c r="M109" s="207" t="s">
        <v>52</v>
      </c>
      <c r="N109" s="110" t="s">
        <v>48</v>
      </c>
      <c r="O109" s="111" t="s">
        <v>106</v>
      </c>
      <c r="P109" s="150" t="s">
        <v>51</v>
      </c>
      <c r="Q109" s="156" t="s">
        <v>154</v>
      </c>
      <c r="R109" s="113"/>
    </row>
    <row r="110" spans="1:18" x14ac:dyDescent="0.3">
      <c r="B110" s="461"/>
      <c r="C110" s="139" t="s">
        <v>110</v>
      </c>
      <c r="D110" s="124" t="s">
        <v>55</v>
      </c>
      <c r="E110" s="211" t="s">
        <v>60</v>
      </c>
      <c r="F110" s="123" t="s">
        <v>55</v>
      </c>
      <c r="G110" s="124" t="s">
        <v>62</v>
      </c>
      <c r="H110" s="121" t="str">
        <f>"Tarife "&amp; C8</f>
        <v>Tarife 2028</v>
      </c>
      <c r="I110" s="213" t="s">
        <v>57</v>
      </c>
      <c r="J110" s="123" t="s">
        <v>55</v>
      </c>
      <c r="K110" s="124" t="s">
        <v>67</v>
      </c>
      <c r="L110" s="121" t="str">
        <f>"Tarife "&amp; C8+1</f>
        <v>Tarife 2029</v>
      </c>
      <c r="M110" s="213" t="s">
        <v>57</v>
      </c>
      <c r="N110" s="123" t="s">
        <v>55</v>
      </c>
      <c r="O110" s="124" t="s">
        <v>69</v>
      </c>
      <c r="P110" s="152" t="str">
        <f>"Tarife "&amp; C8+2</f>
        <v>Tarife 2030</v>
      </c>
      <c r="Q110" s="157" t="s">
        <v>53</v>
      </c>
      <c r="R110" s="122"/>
    </row>
    <row r="111" spans="1:18" x14ac:dyDescent="0.3">
      <c r="B111" s="461"/>
      <c r="C111" s="139"/>
      <c r="D111" s="124"/>
      <c r="E111" s="211"/>
      <c r="F111" s="123"/>
      <c r="G111" s="124"/>
      <c r="H111" s="121" t="s">
        <v>63</v>
      </c>
      <c r="I111" s="213"/>
      <c r="J111" s="123"/>
      <c r="K111" s="124"/>
      <c r="L111" s="121" t="s">
        <v>64</v>
      </c>
      <c r="M111" s="213"/>
      <c r="N111" s="123"/>
      <c r="O111" s="124"/>
      <c r="P111" s="152" t="s">
        <v>65</v>
      </c>
      <c r="Q111" s="158"/>
      <c r="R111" s="122"/>
    </row>
    <row r="112" spans="1:18" ht="14.5" thickBot="1" x14ac:dyDescent="0.35">
      <c r="B112" s="461"/>
      <c r="C112" s="139" t="s">
        <v>38</v>
      </c>
      <c r="D112" s="124" t="s">
        <v>38</v>
      </c>
      <c r="E112" s="211" t="s">
        <v>38</v>
      </c>
      <c r="F112" s="123" t="s">
        <v>38</v>
      </c>
      <c r="G112" s="124" t="s">
        <v>38</v>
      </c>
      <c r="H112" s="121" t="s">
        <v>38</v>
      </c>
      <c r="I112" s="213" t="s">
        <v>38</v>
      </c>
      <c r="J112" s="123" t="s">
        <v>38</v>
      </c>
      <c r="K112" s="124" t="s">
        <v>38</v>
      </c>
      <c r="L112" s="121" t="s">
        <v>38</v>
      </c>
      <c r="M112" s="213" t="s">
        <v>38</v>
      </c>
      <c r="N112" s="123" t="s">
        <v>38</v>
      </c>
      <c r="O112" s="124" t="s">
        <v>38</v>
      </c>
      <c r="P112" s="152" t="s">
        <v>38</v>
      </c>
      <c r="Q112" s="158" t="s">
        <v>38</v>
      </c>
      <c r="R112" s="125" t="s">
        <v>14</v>
      </c>
    </row>
    <row r="113" spans="1:18" s="171" customFormat="1" ht="28" customHeight="1" thickBot="1" x14ac:dyDescent="0.35">
      <c r="A113" s="103"/>
      <c r="B113" s="182" t="str">
        <f>"Übersicht DD 2026 bis Abbau Null "</f>
        <v xml:space="preserve">Übersicht DD 2026 bis Abbau Null </v>
      </c>
      <c r="C113" s="189">
        <f>'DD Energie 2026'!C114</f>
        <v>-0.23858218663372099</v>
      </c>
      <c r="D113" s="129">
        <f>'DD Energie 2026'!D114</f>
        <v>-5.3680991992587218E-3</v>
      </c>
      <c r="E113" s="212">
        <f>'DD Energie 2026'!E114</f>
        <v>-0.24395028583297973</v>
      </c>
      <c r="F113" s="169">
        <f>'DD Energie 2027'!F113</f>
        <v>-6.4646825745739624E-3</v>
      </c>
      <c r="G113" s="147">
        <f>'DD Energie 2027'!G113</f>
        <v>-0.25041496840755367</v>
      </c>
      <c r="H113" s="147">
        <f>'DD Energie 2027'!H113</f>
        <v>8.5017182842555591E-2</v>
      </c>
      <c r="I113" s="210">
        <f>'DD Energie 2027'!I113</f>
        <v>-0.16539778556499807</v>
      </c>
      <c r="J113" s="169">
        <f>I113*(J108/100)</f>
        <v>-4.6311379958199452E-3</v>
      </c>
      <c r="K113" s="147">
        <f>J113+I113</f>
        <v>-0.170028923560818</v>
      </c>
      <c r="L113" s="191">
        <f>'DD Energie 2027'!L113</f>
        <v>8.4890413441235255E-2</v>
      </c>
      <c r="M113" s="205">
        <f>K113+L113+L114</f>
        <v>-8.5138510119582747E-2</v>
      </c>
      <c r="N113" s="169">
        <f>M113*(N108/100)</f>
        <v>-2.3838782833483165E-3</v>
      </c>
      <c r="O113" s="147">
        <f>N113+M113</f>
        <v>-8.752238840293107E-2</v>
      </c>
      <c r="P113" s="155">
        <f>-O113-P114</f>
        <v>8.752238840293107E-2</v>
      </c>
      <c r="Q113" s="168">
        <f>O113+P113+P114</f>
        <v>0</v>
      </c>
      <c r="R113" s="214"/>
    </row>
    <row r="114" spans="1:18" x14ac:dyDescent="0.3">
      <c r="B114" s="188" t="s">
        <v>91</v>
      </c>
      <c r="C114" s="31"/>
      <c r="D114" s="31"/>
      <c r="E114" s="31"/>
      <c r="F114" s="31"/>
      <c r="G114" s="31"/>
      <c r="H114" s="192">
        <f>'DD Energie 2027'!H114</f>
        <v>0</v>
      </c>
      <c r="L114" s="192">
        <f>'DD Energie 2027'!L114</f>
        <v>0</v>
      </c>
      <c r="P114" s="252">
        <v>0</v>
      </c>
      <c r="Q114" s="104"/>
    </row>
    <row r="115" spans="1:18" ht="24.75" customHeight="1" x14ac:dyDescent="0.3">
      <c r="H115" s="186" t="s">
        <v>93</v>
      </c>
      <c r="L115" s="186" t="s">
        <v>93</v>
      </c>
      <c r="P115" s="186" t="s">
        <v>93</v>
      </c>
    </row>
    <row r="116" spans="1:18" x14ac:dyDescent="0.3">
      <c r="H116" s="190"/>
      <c r="L116" s="190"/>
      <c r="P116" s="190"/>
    </row>
    <row r="117" spans="1:18" x14ac:dyDescent="0.3">
      <c r="H117" s="190"/>
      <c r="L117" s="190"/>
      <c r="P117" s="190"/>
    </row>
    <row r="119" spans="1:18" ht="28" x14ac:dyDescent="0.3">
      <c r="B119" s="283" t="s">
        <v>144</v>
      </c>
      <c r="E119" s="164" t="s">
        <v>101</v>
      </c>
      <c r="I119" s="164" t="s">
        <v>88</v>
      </c>
      <c r="M119" s="164" t="s">
        <v>89</v>
      </c>
      <c r="Q119" s="164" t="s">
        <v>90</v>
      </c>
    </row>
    <row r="120" spans="1:18" ht="30.75" customHeight="1" x14ac:dyDescent="0.3">
      <c r="F120" s="194"/>
      <c r="J120" s="251" t="s">
        <v>140</v>
      </c>
      <c r="N120" s="251" t="s">
        <v>141</v>
      </c>
    </row>
    <row r="121" spans="1:18" ht="14.5" thickBot="1" x14ac:dyDescent="0.35">
      <c r="B121" s="31"/>
      <c r="C121" s="180"/>
      <c r="D121" s="254" t="s">
        <v>116</v>
      </c>
      <c r="E121" s="31"/>
      <c r="F121" s="254" t="s">
        <v>116</v>
      </c>
      <c r="G121" s="31"/>
      <c r="J121" s="254" t="s">
        <v>116</v>
      </c>
      <c r="N121" s="254" t="s">
        <v>116</v>
      </c>
    </row>
    <row r="122" spans="1:18" ht="16" thickBot="1" x14ac:dyDescent="0.4">
      <c r="B122" s="3" t="s">
        <v>72</v>
      </c>
      <c r="C122" s="14"/>
      <c r="D122" s="193">
        <f>'DD Energie 2027'!D122</f>
        <v>2.65</v>
      </c>
      <c r="E122" s="14"/>
      <c r="F122" s="96">
        <f>D55</f>
        <v>2.8</v>
      </c>
      <c r="G122" s="31"/>
      <c r="H122" s="184"/>
      <c r="I122" s="14"/>
      <c r="J122" s="96">
        <f>N108</f>
        <v>2.8</v>
      </c>
      <c r="K122" s="137"/>
      <c r="L122" s="137"/>
      <c r="M122" s="137"/>
      <c r="N122" s="96">
        <f>J122</f>
        <v>2.8</v>
      </c>
      <c r="R122" s="14"/>
    </row>
    <row r="123" spans="1:18" ht="25.5" x14ac:dyDescent="0.3">
      <c r="B123" s="460"/>
      <c r="C123" s="138" t="s">
        <v>46</v>
      </c>
      <c r="D123" s="111" t="s">
        <v>48</v>
      </c>
      <c r="E123" s="245" t="s">
        <v>106</v>
      </c>
      <c r="F123" s="110" t="s">
        <v>48</v>
      </c>
      <c r="G123" s="111" t="s">
        <v>106</v>
      </c>
      <c r="H123" s="112" t="s">
        <v>51</v>
      </c>
      <c r="I123" s="207" t="s">
        <v>52</v>
      </c>
      <c r="J123" s="110" t="s">
        <v>48</v>
      </c>
      <c r="K123" s="111" t="s">
        <v>106</v>
      </c>
      <c r="L123" s="112" t="s">
        <v>51</v>
      </c>
      <c r="M123" s="207" t="s">
        <v>52</v>
      </c>
      <c r="N123" s="110" t="s">
        <v>48</v>
      </c>
      <c r="O123" s="111" t="s">
        <v>106</v>
      </c>
      <c r="P123" s="150" t="s">
        <v>51</v>
      </c>
      <c r="Q123" s="156" t="s">
        <v>154</v>
      </c>
      <c r="R123" s="113"/>
    </row>
    <row r="124" spans="1:18" x14ac:dyDescent="0.3">
      <c r="B124" s="461"/>
      <c r="C124" s="139" t="s">
        <v>111</v>
      </c>
      <c r="D124" s="124" t="s">
        <v>55</v>
      </c>
      <c r="E124" s="211" t="s">
        <v>62</v>
      </c>
      <c r="F124" s="123" t="s">
        <v>55</v>
      </c>
      <c r="G124" s="124" t="s">
        <v>67</v>
      </c>
      <c r="H124" s="121" t="str">
        <f>"Tarife "&amp; C8+1</f>
        <v>Tarife 2029</v>
      </c>
      <c r="I124" s="213" t="s">
        <v>57</v>
      </c>
      <c r="J124" s="123" t="s">
        <v>55</v>
      </c>
      <c r="K124" s="124" t="s">
        <v>69</v>
      </c>
      <c r="L124" s="121" t="str">
        <f>"Tarife "&amp; C8+2</f>
        <v>Tarife 2030</v>
      </c>
      <c r="M124" s="213" t="s">
        <v>57</v>
      </c>
      <c r="N124" s="123" t="s">
        <v>55</v>
      </c>
      <c r="O124" s="124" t="s">
        <v>71</v>
      </c>
      <c r="P124" s="152" t="str">
        <f>"Tarife "&amp; C8+3</f>
        <v>Tarife 2031</v>
      </c>
      <c r="Q124" s="157" t="s">
        <v>53</v>
      </c>
      <c r="R124" s="122"/>
    </row>
    <row r="125" spans="1:18" x14ac:dyDescent="0.3">
      <c r="B125" s="461"/>
      <c r="C125" s="139"/>
      <c r="D125" s="124"/>
      <c r="E125" s="211"/>
      <c r="F125" s="123"/>
      <c r="G125" s="124"/>
      <c r="H125" s="121" t="s">
        <v>63</v>
      </c>
      <c r="I125" s="213"/>
      <c r="J125" s="123"/>
      <c r="K125" s="124"/>
      <c r="L125" s="121" t="s">
        <v>64</v>
      </c>
      <c r="M125" s="213"/>
      <c r="N125" s="123"/>
      <c r="O125" s="124"/>
      <c r="P125" s="152" t="s">
        <v>65</v>
      </c>
      <c r="Q125" s="158"/>
      <c r="R125" s="122"/>
    </row>
    <row r="126" spans="1:18" ht="14.5" thickBot="1" x14ac:dyDescent="0.35">
      <c r="B126" s="461"/>
      <c r="C126" s="139" t="s">
        <v>38</v>
      </c>
      <c r="D126" s="124" t="s">
        <v>38</v>
      </c>
      <c r="E126" s="211" t="s">
        <v>38</v>
      </c>
      <c r="F126" s="123" t="s">
        <v>38</v>
      </c>
      <c r="G126" s="124" t="s">
        <v>38</v>
      </c>
      <c r="H126" s="121" t="s">
        <v>38</v>
      </c>
      <c r="I126" s="213" t="s">
        <v>38</v>
      </c>
      <c r="J126" s="123" t="s">
        <v>38</v>
      </c>
      <c r="K126" s="124" t="s">
        <v>38</v>
      </c>
      <c r="L126" s="121" t="s">
        <v>38</v>
      </c>
      <c r="M126" s="213" t="s">
        <v>38</v>
      </c>
      <c r="N126" s="123" t="s">
        <v>38</v>
      </c>
      <c r="O126" s="124" t="s">
        <v>38</v>
      </c>
      <c r="P126" s="152" t="s">
        <v>38</v>
      </c>
      <c r="Q126" s="158" t="s">
        <v>38</v>
      </c>
      <c r="R126" s="125" t="s">
        <v>14</v>
      </c>
    </row>
    <row r="127" spans="1:18" s="171" customFormat="1" ht="28" customHeight="1" thickBot="1" x14ac:dyDescent="0.35">
      <c r="A127" s="103"/>
      <c r="B127" s="182" t="str">
        <f>"Übersicht DD 2027 bis Abbau Null "</f>
        <v xml:space="preserve">Übersicht DD 2027 bis Abbau Null </v>
      </c>
      <c r="C127" s="189">
        <f>'DD Energie 2027'!C127</f>
        <v>146497.3527643804</v>
      </c>
      <c r="D127" s="129">
        <f>'DD Energie 2027'!D127</f>
        <v>3882.1798482560803</v>
      </c>
      <c r="E127" s="212">
        <f>'DD Energie 2027'!E127</f>
        <v>150379.53261263648</v>
      </c>
      <c r="F127" s="169">
        <f>E127*(F122/100)</f>
        <v>4210.6269131538211</v>
      </c>
      <c r="G127" s="147">
        <f>E127+F127</f>
        <v>154590.15952579031</v>
      </c>
      <c r="H127" s="191">
        <f>'DD Energie 2027'!H127</f>
        <v>-52818.417289294477</v>
      </c>
      <c r="I127" s="210">
        <f>G127+H127+H128</f>
        <v>101771.74223649583</v>
      </c>
      <c r="J127" s="169">
        <f>I127*(J122/100)</f>
        <v>2849.6087826218832</v>
      </c>
      <c r="K127" s="147">
        <f>J127+I127</f>
        <v>104621.35101911772</v>
      </c>
      <c r="L127" s="149">
        <f>IF(L128&lt;ABS(K127),(-K127-L128)/2,0)</f>
        <v>-52310.67550955886</v>
      </c>
      <c r="M127" s="205">
        <f>K127+L127+L128</f>
        <v>52310.67550955886</v>
      </c>
      <c r="N127" s="169">
        <f>M127*(N122/100)</f>
        <v>1464.698914267648</v>
      </c>
      <c r="O127" s="147">
        <f>N127+M127</f>
        <v>53775.374423826506</v>
      </c>
      <c r="P127" s="155">
        <f>-O127-P128</f>
        <v>-53775.374423826506</v>
      </c>
      <c r="Q127" s="168">
        <f>O127+P127+P128</f>
        <v>0</v>
      </c>
      <c r="R127" s="214"/>
    </row>
    <row r="128" spans="1:18" x14ac:dyDescent="0.3">
      <c r="B128" s="188" t="s">
        <v>91</v>
      </c>
      <c r="C128" s="31"/>
      <c r="D128" s="31"/>
      <c r="F128" s="31"/>
      <c r="G128" s="31"/>
      <c r="H128" s="192">
        <f>'DD Energie 2027'!H128</f>
        <v>0</v>
      </c>
      <c r="L128" s="252">
        <v>0</v>
      </c>
      <c r="M128" s="103"/>
      <c r="N128" s="103"/>
      <c r="O128" s="103"/>
      <c r="P128" s="252">
        <v>0</v>
      </c>
      <c r="Q128" s="104"/>
    </row>
    <row r="129" spans="1:18" ht="24.75" customHeight="1" x14ac:dyDescent="0.3">
      <c r="H129" s="186" t="s">
        <v>93</v>
      </c>
      <c r="L129" s="186" t="s">
        <v>93</v>
      </c>
      <c r="P129" s="186" t="s">
        <v>93</v>
      </c>
    </row>
    <row r="130" spans="1:18" x14ac:dyDescent="0.3">
      <c r="H130" s="190"/>
      <c r="L130" s="190"/>
      <c r="P130" s="190"/>
    </row>
    <row r="131" spans="1:18" x14ac:dyDescent="0.3">
      <c r="H131" s="190"/>
      <c r="L131" s="190"/>
      <c r="P131" s="190"/>
    </row>
    <row r="133" spans="1:18" ht="28" x14ac:dyDescent="0.3">
      <c r="B133" s="283" t="s">
        <v>144</v>
      </c>
      <c r="E133" s="164" t="s">
        <v>102</v>
      </c>
      <c r="I133" s="164" t="s">
        <v>89</v>
      </c>
      <c r="M133" s="164" t="s">
        <v>90</v>
      </c>
      <c r="Q133" s="164" t="s">
        <v>118</v>
      </c>
    </row>
    <row r="134" spans="1:18" ht="30.75" customHeight="1" x14ac:dyDescent="0.3">
      <c r="F134" s="251" t="s">
        <v>140</v>
      </c>
      <c r="J134" s="251" t="s">
        <v>141</v>
      </c>
      <c r="N134" s="251" t="s">
        <v>142</v>
      </c>
    </row>
    <row r="135" spans="1:18" ht="14.5" thickBot="1" x14ac:dyDescent="0.35">
      <c r="B135" s="31"/>
      <c r="C135" s="180"/>
      <c r="D135" s="254" t="s">
        <v>116</v>
      </c>
      <c r="E135" s="31"/>
      <c r="F135" s="254" t="s">
        <v>116</v>
      </c>
      <c r="G135" s="31"/>
      <c r="J135" s="254" t="s">
        <v>116</v>
      </c>
      <c r="N135" s="254" t="s">
        <v>116</v>
      </c>
    </row>
    <row r="136" spans="1:18" ht="16" thickBot="1" x14ac:dyDescent="0.4">
      <c r="B136" s="3" t="s">
        <v>121</v>
      </c>
      <c r="C136" s="14"/>
      <c r="D136" s="96">
        <f>D55</f>
        <v>2.8</v>
      </c>
      <c r="E136" s="14"/>
      <c r="F136" s="96">
        <f>J122</f>
        <v>2.8</v>
      </c>
      <c r="G136" s="31"/>
      <c r="H136" s="184"/>
      <c r="I136" s="14"/>
      <c r="J136" s="96">
        <f>N122</f>
        <v>2.8</v>
      </c>
      <c r="K136" s="137"/>
      <c r="L136" s="137"/>
      <c r="M136" s="137"/>
      <c r="N136" s="96">
        <f>J136</f>
        <v>2.8</v>
      </c>
      <c r="R136" s="14"/>
    </row>
    <row r="137" spans="1:18" ht="25.5" x14ac:dyDescent="0.3">
      <c r="B137" s="460"/>
      <c r="C137" s="138" t="s">
        <v>46</v>
      </c>
      <c r="D137" s="111" t="s">
        <v>48</v>
      </c>
      <c r="E137" s="245" t="s">
        <v>106</v>
      </c>
      <c r="F137" s="110" t="s">
        <v>48</v>
      </c>
      <c r="G137" s="111" t="s">
        <v>106</v>
      </c>
      <c r="H137" s="112" t="s">
        <v>51</v>
      </c>
      <c r="I137" s="207" t="s">
        <v>52</v>
      </c>
      <c r="J137" s="110" t="s">
        <v>48</v>
      </c>
      <c r="K137" s="111" t="s">
        <v>106</v>
      </c>
      <c r="L137" s="112" t="s">
        <v>51</v>
      </c>
      <c r="M137" s="150" t="s">
        <v>52</v>
      </c>
      <c r="N137" s="247" t="s">
        <v>48</v>
      </c>
      <c r="O137" s="111" t="s">
        <v>106</v>
      </c>
      <c r="P137" s="150" t="s">
        <v>51</v>
      </c>
      <c r="Q137" s="156" t="s">
        <v>154</v>
      </c>
      <c r="R137" s="113"/>
    </row>
    <row r="138" spans="1:18" x14ac:dyDescent="0.3">
      <c r="B138" s="461"/>
      <c r="C138" s="139" t="s">
        <v>112</v>
      </c>
      <c r="D138" s="124" t="s">
        <v>55</v>
      </c>
      <c r="E138" s="211" t="s">
        <v>67</v>
      </c>
      <c r="F138" s="123" t="s">
        <v>55</v>
      </c>
      <c r="G138" s="124" t="s">
        <v>69</v>
      </c>
      <c r="H138" s="121" t="str">
        <f>"Tarife "&amp; C8+2</f>
        <v>Tarife 2030</v>
      </c>
      <c r="I138" s="213" t="s">
        <v>57</v>
      </c>
      <c r="J138" s="123" t="s">
        <v>55</v>
      </c>
      <c r="K138" s="124" t="s">
        <v>71</v>
      </c>
      <c r="L138" s="121" t="str">
        <f>"Tarife "&amp; C8+3</f>
        <v>Tarife 2031</v>
      </c>
      <c r="M138" s="213" t="s">
        <v>57</v>
      </c>
      <c r="N138" s="123" t="s">
        <v>55</v>
      </c>
      <c r="O138" s="124" t="s">
        <v>73</v>
      </c>
      <c r="P138" s="152" t="str">
        <f>"Tarife "&amp; C8+4</f>
        <v>Tarife 2032</v>
      </c>
      <c r="Q138" s="157" t="s">
        <v>53</v>
      </c>
      <c r="R138" s="122"/>
    </row>
    <row r="139" spans="1:18" x14ac:dyDescent="0.3">
      <c r="B139" s="461"/>
      <c r="C139" s="139"/>
      <c r="D139" s="124"/>
      <c r="E139" s="211"/>
      <c r="F139" s="123"/>
      <c r="G139" s="124"/>
      <c r="H139" s="121" t="s">
        <v>63</v>
      </c>
      <c r="I139" s="213"/>
      <c r="J139" s="123"/>
      <c r="K139" s="124"/>
      <c r="L139" s="121" t="s">
        <v>64</v>
      </c>
      <c r="M139" s="213"/>
      <c r="N139" s="123"/>
      <c r="O139" s="124"/>
      <c r="P139" s="152" t="s">
        <v>65</v>
      </c>
      <c r="Q139" s="158"/>
      <c r="R139" s="122"/>
    </row>
    <row r="140" spans="1:18" ht="14.5" thickBot="1" x14ac:dyDescent="0.35">
      <c r="B140" s="461"/>
      <c r="C140" s="139" t="s">
        <v>38</v>
      </c>
      <c r="D140" s="124" t="s">
        <v>38</v>
      </c>
      <c r="E140" s="211" t="s">
        <v>38</v>
      </c>
      <c r="F140" s="123" t="s">
        <v>38</v>
      </c>
      <c r="G140" s="124" t="s">
        <v>38</v>
      </c>
      <c r="H140" s="121" t="s">
        <v>38</v>
      </c>
      <c r="I140" s="213" t="s">
        <v>38</v>
      </c>
      <c r="J140" s="123" t="s">
        <v>38</v>
      </c>
      <c r="K140" s="124" t="s">
        <v>38</v>
      </c>
      <c r="L140" s="121" t="s">
        <v>38</v>
      </c>
      <c r="M140" s="213" t="s">
        <v>38</v>
      </c>
      <c r="N140" s="123" t="s">
        <v>38</v>
      </c>
      <c r="O140" s="124" t="s">
        <v>38</v>
      </c>
      <c r="P140" s="152" t="s">
        <v>38</v>
      </c>
      <c r="Q140" s="158" t="s">
        <v>38</v>
      </c>
      <c r="R140" s="125" t="s">
        <v>14</v>
      </c>
    </row>
    <row r="141" spans="1:18" s="171" customFormat="1" ht="27" customHeight="1" thickBot="1" x14ac:dyDescent="0.35">
      <c r="A141" s="103"/>
      <c r="B141" s="182" t="str">
        <f>"Übersicht DD 2028 bis Abbau Null "</f>
        <v xml:space="preserve">Übersicht DD 2028 bis Abbau Null </v>
      </c>
      <c r="C141" s="140">
        <f>D51</f>
        <v>-84297.019449779997</v>
      </c>
      <c r="D141" s="129">
        <f>C141*(D136/100)</f>
        <v>-2360.3165445938398</v>
      </c>
      <c r="E141" s="212">
        <f>D141+C141</f>
        <v>-86657.335994373832</v>
      </c>
      <c r="F141" s="169">
        <f>E141*(F136/100)</f>
        <v>-2426.405407842467</v>
      </c>
      <c r="G141" s="147">
        <f>E141+F141</f>
        <v>-89083.741402216299</v>
      </c>
      <c r="H141" s="149">
        <f>IF(H142&lt;ABS(G141),(-G141-H142)/3*(1+F136/100),0)</f>
        <v>23672.695387159452</v>
      </c>
      <c r="I141" s="210">
        <f>G141+H141+H142</f>
        <v>-45411.046015056847</v>
      </c>
      <c r="J141" s="169">
        <f>I141*(J136/100)</f>
        <v>-1271.5092884215917</v>
      </c>
      <c r="K141" s="147">
        <f>J141+I141</f>
        <v>-46682.555303478439</v>
      </c>
      <c r="L141" s="149">
        <f>IF(L142&lt;ABS(K141),(-K141-L142)/2,0)</f>
        <v>23341.277651739219</v>
      </c>
      <c r="M141" s="205">
        <f>K141+L141+L142</f>
        <v>-23341.277651739219</v>
      </c>
      <c r="N141" s="169">
        <f>M141*(N136/100)</f>
        <v>-653.55577424869807</v>
      </c>
      <c r="O141" s="147">
        <f>N141+M141</f>
        <v>-23994.833425987919</v>
      </c>
      <c r="P141" s="155">
        <f>-O141-P142</f>
        <v>23994.833425987919</v>
      </c>
      <c r="Q141" s="168">
        <f>O141+P141+P142</f>
        <v>0</v>
      </c>
      <c r="R141" s="214"/>
    </row>
    <row r="142" spans="1:18" x14ac:dyDescent="0.3">
      <c r="B142" s="188" t="s">
        <v>91</v>
      </c>
      <c r="C142" s="31"/>
      <c r="D142" s="31"/>
      <c r="F142" s="31"/>
      <c r="G142" s="31"/>
      <c r="H142" s="252">
        <v>20000</v>
      </c>
      <c r="I142" s="31"/>
      <c r="J142" s="103"/>
      <c r="K142" s="103"/>
      <c r="L142" s="252">
        <v>0</v>
      </c>
      <c r="M142" s="103"/>
      <c r="N142" s="103"/>
      <c r="O142" s="103"/>
      <c r="P142" s="252">
        <v>0</v>
      </c>
      <c r="Q142" s="104"/>
    </row>
    <row r="143" spans="1:18" ht="24" customHeight="1" x14ac:dyDescent="0.3">
      <c r="B143" s="31"/>
      <c r="C143" s="31"/>
      <c r="D143" s="31"/>
      <c r="H143" s="186" t="s">
        <v>93</v>
      </c>
      <c r="L143" s="186" t="s">
        <v>93</v>
      </c>
      <c r="P143" s="186" t="s">
        <v>93</v>
      </c>
      <c r="Q143" s="104"/>
    </row>
    <row r="144" spans="1:18" x14ac:dyDescent="0.3">
      <c r="B144" s="31"/>
      <c r="C144" s="31"/>
      <c r="D144" s="31"/>
      <c r="F144" s="31"/>
      <c r="G144" s="31"/>
      <c r="H144" s="131"/>
      <c r="L144" s="131"/>
      <c r="P144" s="131"/>
      <c r="Q144" s="104"/>
    </row>
    <row r="145" spans="1:22" x14ac:dyDescent="0.3">
      <c r="B145" s="143"/>
      <c r="C145" s="31"/>
      <c r="D145" s="31"/>
      <c r="E145" s="31"/>
      <c r="F145" s="31"/>
      <c r="G145" s="31"/>
      <c r="H145" s="144"/>
      <c r="L145" s="144"/>
      <c r="P145" s="144"/>
      <c r="Q145" s="104"/>
    </row>
    <row r="146" spans="1:22" s="102" customFormat="1" ht="28.5" customHeight="1" x14ac:dyDescent="0.35">
      <c r="A146" s="145" t="s">
        <v>74</v>
      </c>
      <c r="B146" s="100"/>
      <c r="C146" s="100"/>
      <c r="D146" s="100"/>
      <c r="E146" s="100"/>
      <c r="F146" s="100"/>
      <c r="G146" s="100"/>
      <c r="H146" s="101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</row>
    <row r="148" spans="1:22" ht="15.5" x14ac:dyDescent="0.35">
      <c r="B148" s="3" t="s">
        <v>74</v>
      </c>
      <c r="C148" s="81" t="s">
        <v>92</v>
      </c>
      <c r="D148" s="81" t="s">
        <v>75</v>
      </c>
      <c r="E148" s="14" t="s">
        <v>76</v>
      </c>
      <c r="F148" s="14" t="s">
        <v>77</v>
      </c>
      <c r="G148" s="81" t="s">
        <v>98</v>
      </c>
      <c r="H148" s="14"/>
      <c r="I148" s="49"/>
      <c r="K148" s="14"/>
      <c r="M148" s="81"/>
      <c r="Q148" s="81"/>
      <c r="U148" s="14"/>
    </row>
    <row r="149" spans="1:22" ht="16" thickBot="1" x14ac:dyDescent="0.4">
      <c r="B149" s="3"/>
      <c r="C149" s="317" t="s">
        <v>150</v>
      </c>
      <c r="D149" s="445" t="s">
        <v>151</v>
      </c>
      <c r="E149" s="446"/>
      <c r="F149" s="14"/>
      <c r="G149" s="81"/>
      <c r="H149" s="14"/>
      <c r="I149" s="49"/>
      <c r="K149" s="14"/>
      <c r="M149" s="81"/>
      <c r="Q149" s="81"/>
      <c r="U149" s="14"/>
    </row>
    <row r="150" spans="1:22" ht="33.65" customHeight="1" x14ac:dyDescent="0.3">
      <c r="B150" s="460"/>
      <c r="C150" s="121" t="s">
        <v>45</v>
      </c>
      <c r="D150" s="124" t="s">
        <v>146</v>
      </c>
      <c r="E150" s="318" t="s">
        <v>145</v>
      </c>
      <c r="F150" s="112" t="s">
        <v>120</v>
      </c>
      <c r="G150" s="217" t="s">
        <v>120</v>
      </c>
      <c r="H150" s="31"/>
    </row>
    <row r="151" spans="1:22" x14ac:dyDescent="0.3">
      <c r="B151" s="461"/>
      <c r="C151" s="215"/>
      <c r="D151" s="146">
        <f>$C$8</f>
        <v>2028</v>
      </c>
      <c r="E151" s="146">
        <f>C8</f>
        <v>2028</v>
      </c>
      <c r="F151" s="146">
        <f>E151+1</f>
        <v>2029</v>
      </c>
      <c r="G151" s="244">
        <f>E151+2</f>
        <v>2030</v>
      </c>
      <c r="H151" s="49"/>
    </row>
    <row r="152" spans="1:22" ht="14.5" thickBot="1" x14ac:dyDescent="0.35">
      <c r="B152" s="462"/>
      <c r="C152" s="139" t="s">
        <v>38</v>
      </c>
      <c r="D152" s="124" t="s">
        <v>38</v>
      </c>
      <c r="E152" s="179" t="s">
        <v>38</v>
      </c>
      <c r="F152" s="121" t="s">
        <v>38</v>
      </c>
      <c r="G152" s="256" t="s">
        <v>38</v>
      </c>
    </row>
    <row r="153" spans="1:22" ht="14.5" thickBot="1" x14ac:dyDescent="0.35">
      <c r="B153" s="126" t="s">
        <v>78</v>
      </c>
      <c r="C153" s="249"/>
      <c r="D153" s="222">
        <f>SUM(D155:D157)</f>
        <v>101824.92130592148</v>
      </c>
      <c r="E153" s="222">
        <f>C141</f>
        <v>-84297.019449779997</v>
      </c>
      <c r="F153" s="223">
        <f>SUM(F155:F157)+F158</f>
        <v>-89268.80465079</v>
      </c>
      <c r="G153" s="286">
        <f>SUM(G154:G156)+G158</f>
        <v>-28691.15680794678</v>
      </c>
    </row>
    <row r="154" spans="1:22" ht="14.5" thickBot="1" x14ac:dyDescent="0.35">
      <c r="B154" s="216" t="str">
        <f>"davon t ["&amp;$C$8&amp;"]"</f>
        <v>davon t [2028]</v>
      </c>
      <c r="C154" s="301"/>
      <c r="D154" s="301"/>
      <c r="E154" s="301"/>
      <c r="F154" s="301"/>
      <c r="G154" s="226">
        <f>H141</f>
        <v>23672.695387159452</v>
      </c>
      <c r="I154" s="31"/>
      <c r="K154" s="31"/>
      <c r="L154" s="31"/>
      <c r="M154" s="131"/>
      <c r="Q154" s="131"/>
      <c r="U154" s="131"/>
      <c r="V154" s="104"/>
    </row>
    <row r="155" spans="1:22" ht="14.5" thickBot="1" x14ac:dyDescent="0.35">
      <c r="B155" s="216" t="str">
        <f>"davon t-1 ["&amp;$C$8-1&amp;"]"</f>
        <v>davon t-1 [2027]</v>
      </c>
      <c r="C155" s="302"/>
      <c r="D155" s="219">
        <f>I127</f>
        <v>101771.74223649583</v>
      </c>
      <c r="E155" s="302"/>
      <c r="F155" s="221">
        <f>H127</f>
        <v>-52818.417289294477</v>
      </c>
      <c r="G155" s="225">
        <f>L127</f>
        <v>-52310.67550955886</v>
      </c>
      <c r="H155" s="49"/>
      <c r="J155" s="31"/>
      <c r="K155" s="31"/>
      <c r="S155" s="1"/>
    </row>
    <row r="156" spans="1:22" ht="14.5" thickBot="1" x14ac:dyDescent="0.35">
      <c r="B156" s="216" t="str">
        <f>"davon t-2 ["&amp;$C$8-2&amp;"]"</f>
        <v>davon t-2 [2026]</v>
      </c>
      <c r="C156" s="302"/>
      <c r="D156" s="219">
        <f>M113</f>
        <v>-8.5138510119582747E-2</v>
      </c>
      <c r="E156" s="302"/>
      <c r="F156" s="221">
        <f>L113</f>
        <v>8.4890413441235255E-2</v>
      </c>
      <c r="G156" s="225">
        <f>P113</f>
        <v>8.752238840293107E-2</v>
      </c>
    </row>
    <row r="157" spans="1:22" ht="14.5" thickBot="1" x14ac:dyDescent="0.35">
      <c r="B157" s="246" t="str">
        <f>"davon t-3 ["&amp;$C$8-3&amp;"]"</f>
        <v>davon t-3 [2025]</v>
      </c>
      <c r="C157" s="304"/>
      <c r="D157" s="220">
        <f>Q99</f>
        <v>53.26420793577563</v>
      </c>
      <c r="E157" s="304"/>
      <c r="F157" s="220">
        <f>P99</f>
        <v>-36450.472964049681</v>
      </c>
      <c r="G157" s="305"/>
      <c r="K157" s="148"/>
    </row>
    <row r="158" spans="1:22" ht="14.5" thickBot="1" x14ac:dyDescent="0.35">
      <c r="B158" s="288" t="s">
        <v>124</v>
      </c>
      <c r="C158" s="103"/>
      <c r="D158" s="103"/>
      <c r="E158" s="103"/>
      <c r="F158" s="289">
        <f>'DD Energie 2027'!G144</f>
        <v>7.1214072998770916E-4</v>
      </c>
      <c r="G158" s="289">
        <f>-Q99</f>
        <v>-53.26420793577563</v>
      </c>
    </row>
    <row r="159" spans="1:22" x14ac:dyDescent="0.3">
      <c r="B159" s="104"/>
      <c r="C159" s="104"/>
    </row>
    <row r="160" spans="1:22" x14ac:dyDescent="0.3">
      <c r="B160" s="104"/>
    </row>
  </sheetData>
  <sheetProtection formatCells="0" formatColumns="0" formatRows="0" selectLockedCells="1"/>
  <dataConsolidate/>
  <mergeCells count="44">
    <mergeCell ref="J18:K18"/>
    <mergeCell ref="B16:B17"/>
    <mergeCell ref="J16:K16"/>
    <mergeCell ref="J17:K17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B48:C48"/>
    <mergeCell ref="E48:K48"/>
    <mergeCell ref="J33:K33"/>
    <mergeCell ref="J34:K34"/>
    <mergeCell ref="J35:K35"/>
    <mergeCell ref="B37:C37"/>
    <mergeCell ref="E42:K42"/>
    <mergeCell ref="B46:C46"/>
    <mergeCell ref="E46:K46"/>
    <mergeCell ref="B47:C47"/>
    <mergeCell ref="E47:K47"/>
    <mergeCell ref="E37:K37"/>
    <mergeCell ref="B51:C51"/>
    <mergeCell ref="E51:K51"/>
    <mergeCell ref="E52:K52"/>
    <mergeCell ref="E53:K53"/>
    <mergeCell ref="B55:C55"/>
    <mergeCell ref="E55:K55"/>
    <mergeCell ref="B150:B152"/>
    <mergeCell ref="E57:K57"/>
    <mergeCell ref="B68:B70"/>
    <mergeCell ref="D77:D78"/>
    <mergeCell ref="B81:B84"/>
    <mergeCell ref="B95:B98"/>
    <mergeCell ref="B109:B112"/>
    <mergeCell ref="B123:B126"/>
    <mergeCell ref="B137:B140"/>
    <mergeCell ref="D149:E149"/>
  </mergeCells>
  <conditionalFormatting sqref="F153">
    <cfRule type="cellIs" dxfId="88" priority="86" stopIfTrue="1" operator="notEqual">
      <formula>0</formula>
    </cfRule>
  </conditionalFormatting>
  <conditionalFormatting sqref="F155:F156">
    <cfRule type="cellIs" dxfId="87" priority="81" stopIfTrue="1" operator="notEqual">
      <formula>0</formula>
    </cfRule>
  </conditionalFormatting>
  <conditionalFormatting sqref="F158:G158">
    <cfRule type="cellIs" dxfId="86" priority="54" stopIfTrue="1" operator="notEqual">
      <formula>0</formula>
    </cfRule>
  </conditionalFormatting>
  <conditionalFormatting sqref="F85:I85">
    <cfRule type="cellIs" dxfId="85" priority="42" stopIfTrue="1" operator="notEqual">
      <formula>0</formula>
    </cfRule>
  </conditionalFormatting>
  <conditionalFormatting sqref="F99:I99">
    <cfRule type="cellIs" dxfId="84" priority="38" stopIfTrue="1" operator="notEqual">
      <formula>0</formula>
    </cfRule>
  </conditionalFormatting>
  <conditionalFormatting sqref="F113:I113">
    <cfRule type="cellIs" dxfId="83" priority="63" stopIfTrue="1" operator="notEqual">
      <formula>0</formula>
    </cfRule>
  </conditionalFormatting>
  <conditionalFormatting sqref="F127:I127">
    <cfRule type="cellIs" dxfId="82" priority="61" stopIfTrue="1" operator="notEqual">
      <formula>0</formula>
    </cfRule>
  </conditionalFormatting>
  <conditionalFormatting sqref="F141:I141">
    <cfRule type="cellIs" dxfId="81" priority="30" stopIfTrue="1" operator="notEqual">
      <formula>0</formula>
    </cfRule>
  </conditionalFormatting>
  <conditionalFormatting sqref="G31:G32">
    <cfRule type="cellIs" dxfId="80" priority="120" stopIfTrue="1" operator="notEqual">
      <formula>0</formula>
    </cfRule>
  </conditionalFormatting>
  <conditionalFormatting sqref="G153:G156">
    <cfRule type="cellIs" dxfId="79" priority="80" stopIfTrue="1" operator="notEqual">
      <formula>0</formula>
    </cfRule>
  </conditionalFormatting>
  <conditionalFormatting sqref="H18:I19 G19 J19 G22:I23 G24:G30 H24:H32 I24:I35 G33:G35 J35">
    <cfRule type="cellIs" dxfId="78" priority="119" stopIfTrue="1" operator="notEqual">
      <formula>0</formula>
    </cfRule>
  </conditionalFormatting>
  <conditionalFormatting sqref="I71">
    <cfRule type="cellIs" dxfId="77" priority="53" stopIfTrue="1" operator="notEqual">
      <formula>0</formula>
    </cfRule>
  </conditionalFormatting>
  <conditionalFormatting sqref="K71:M71">
    <cfRule type="cellIs" dxfId="76" priority="48" stopIfTrue="1" operator="notEqual">
      <formula>0</formula>
    </cfRule>
  </conditionalFormatting>
  <conditionalFormatting sqref="K85:M85">
    <cfRule type="cellIs" dxfId="75" priority="41" stopIfTrue="1" operator="notEqual">
      <formula>0</formula>
    </cfRule>
  </conditionalFormatting>
  <conditionalFormatting sqref="K99:M99">
    <cfRule type="cellIs" dxfId="74" priority="101" stopIfTrue="1" operator="notEqual">
      <formula>0</formula>
    </cfRule>
  </conditionalFormatting>
  <conditionalFormatting sqref="K113:M113">
    <cfRule type="cellIs" dxfId="73" priority="100" stopIfTrue="1" operator="notEqual">
      <formula>0</formula>
    </cfRule>
  </conditionalFormatting>
  <conditionalFormatting sqref="K127:M127">
    <cfRule type="cellIs" dxfId="72" priority="34" stopIfTrue="1" operator="notEqual">
      <formula>0</formula>
    </cfRule>
  </conditionalFormatting>
  <conditionalFormatting sqref="K141:M141">
    <cfRule type="cellIs" dxfId="71" priority="28" stopIfTrue="1" operator="notEqual">
      <formula>0</formula>
    </cfRule>
  </conditionalFormatting>
  <conditionalFormatting sqref="O71:Q71">
    <cfRule type="cellIs" dxfId="70" priority="50" stopIfTrue="1" operator="notEqual">
      <formula>0</formula>
    </cfRule>
  </conditionalFormatting>
  <conditionalFormatting sqref="O85:Q85">
    <cfRule type="cellIs" dxfId="69" priority="153" stopIfTrue="1" operator="notEqual">
      <formula>0</formula>
    </cfRule>
  </conditionalFormatting>
  <conditionalFormatting sqref="O99:Q99">
    <cfRule type="cellIs" dxfId="68" priority="68" stopIfTrue="1" operator="notEqual">
      <formula>0</formula>
    </cfRule>
  </conditionalFormatting>
  <conditionalFormatting sqref="O113:Q113">
    <cfRule type="cellIs" dxfId="67" priority="36" stopIfTrue="1" operator="notEqual">
      <formula>0</formula>
    </cfRule>
  </conditionalFormatting>
  <conditionalFormatting sqref="O127:Q127">
    <cfRule type="cellIs" dxfId="66" priority="32" stopIfTrue="1" operator="notEqual">
      <formula>0</formula>
    </cfRule>
  </conditionalFormatting>
  <conditionalFormatting sqref="O141:Q141">
    <cfRule type="cellIs" dxfId="65" priority="26" stopIfTrue="1" operator="notEqual">
      <formula>0</formula>
    </cfRule>
  </conditionalFormatting>
  <conditionalFormatting sqref="S71:U71">
    <cfRule type="cellIs" dxfId="64" priority="47" stopIfTrue="1" operator="notEqual">
      <formula>0</formula>
    </cfRule>
  </conditionalFormatting>
  <conditionalFormatting sqref="Q100">
    <cfRule type="expression" dxfId="63" priority="21">
      <formula>AND(Q100&gt;-R100,$Q$87 &lt;&gt; 0)</formula>
    </cfRule>
    <cfRule type="expression" dxfId="62" priority="22">
      <formula>R100&gt;=0</formula>
    </cfRule>
  </conditionalFormatting>
  <conditionalFormatting sqref="P114">
    <cfRule type="expression" dxfId="61" priority="19">
      <formula>AND(P114&gt; -O113, P114 &lt;&gt; 0)</formula>
    </cfRule>
    <cfRule type="expression" dxfId="60" priority="20">
      <formula>O113&gt;=0</formula>
    </cfRule>
  </conditionalFormatting>
  <conditionalFormatting sqref="L128">
    <cfRule type="expression" dxfId="59" priority="17">
      <formula>AND(L128&gt; -K127, L128 &lt;&gt; 0)</formula>
    </cfRule>
    <cfRule type="expression" dxfId="58" priority="18">
      <formula>K127&gt;=0</formula>
    </cfRule>
  </conditionalFormatting>
  <conditionalFormatting sqref="P128">
    <cfRule type="expression" dxfId="57" priority="15">
      <formula>AND(P128&gt; -O127, P128 &lt;&gt; 0)</formula>
    </cfRule>
    <cfRule type="expression" dxfId="56" priority="16">
      <formula>O127&gt;=0</formula>
    </cfRule>
  </conditionalFormatting>
  <conditionalFormatting sqref="H142">
    <cfRule type="expression" dxfId="55" priority="13">
      <formula>AND(H142&gt; -G141, H142 &lt;&gt; 0)</formula>
    </cfRule>
    <cfRule type="expression" dxfId="54" priority="14">
      <formula>G141&gt;=0</formula>
    </cfRule>
  </conditionalFormatting>
  <conditionalFormatting sqref="L142">
    <cfRule type="expression" dxfId="53" priority="11">
      <formula>AND(L142&gt; -K141, L142 &lt;&gt; 0)</formula>
    </cfRule>
    <cfRule type="expression" dxfId="52" priority="12">
      <formula>K141&gt;=0</formula>
    </cfRule>
  </conditionalFormatting>
  <conditionalFormatting sqref="P142">
    <cfRule type="expression" dxfId="51" priority="9">
      <formula>AND(P142&gt; -O141, P142 &lt;&gt; 0)</formula>
    </cfRule>
    <cfRule type="expression" dxfId="50" priority="10">
      <formula>O141&gt;=0</formula>
    </cfRule>
  </conditionalFormatting>
  <conditionalFormatting sqref="B46:C46">
    <cfRule type="expression" dxfId="49" priority="1" stopIfTrue="1">
      <formula>AND($D$46&lt;&gt;"",$D$46&lt;&gt;0)</formula>
    </cfRule>
    <cfRule type="expression" dxfId="48" priority="2" stopIfTrue="1">
      <formula>AND($D$46="",$D$46=0)</formula>
    </cfRule>
  </conditionalFormatting>
  <conditionalFormatting sqref="B47:C47">
    <cfRule type="expression" dxfId="47" priority="3" stopIfTrue="1">
      <formula>AND($D$47&lt;&gt;"",$D$47&lt;&gt;0)</formula>
    </cfRule>
    <cfRule type="expression" dxfId="46" priority="4" stopIfTrue="1">
      <formula>AND($D$47="",$D$47=0)</formula>
    </cfRule>
  </conditionalFormatting>
  <dataValidations count="6">
    <dataValidation allowBlank="1" showInputMessage="1" showErrorMessage="1" errorTitle="Standard" error="Bitte geben Sie hier den verwendeten Zinssatz ein!" promptTitle="Zinssatz" sqref="Q148:Q149" xr:uid="{C2AC2752-6C41-47B4-B499-001F712B58A7}"/>
    <dataValidation type="decimal" allowBlank="1" showInputMessage="1" showErrorMessage="1" errorTitle="Standard" error="Bitte geben Sie einen Zahlenwert ein!" sqref="D62:E67" xr:uid="{DF531BD3-24C7-4DB9-9C5E-A0A7A2834012}">
      <formula1>-1000000000</formula1>
      <formula2>1000000000</formula2>
    </dataValidation>
    <dataValidation allowBlank="1" showInputMessage="1" showErrorMessage="1" prompt="Tarifneutrale Unterdeckungs-Ausbuchung erfolgt mit + " sqref="M51" xr:uid="{3959296B-D3C7-47CC-8DAD-1EA679CA2576}"/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N136 F136 N122 J136 D136 J122 F122 J108 N94 N108" xr:uid="{3141708C-C888-4F0E-88FE-C034F8002B61}"/>
    <dataValidation type="decimal" allowBlank="1" showInputMessage="1" showErrorMessage="1" errorTitle="Achtung Rundungsproblem" error="Wenn Sie den negativen Rest (Unterdeckung) ganz entfernen möchten, geben Sie bitte einen um 0,01 Rp. oder 0,005 Rp. niedrigeren Betrag ein." promptTitle="Tarifneutrale Ausbuchung" prompt="Keine negative Werte_x000a_" sqref="Q100" xr:uid="{C0FA3C79-0810-4855-821B-8D73D8832B9F}">
      <formula1>0</formula1>
      <formula2>MAX(-R100,0)</formula2>
    </dataValidation>
    <dataValidation type="decimal" allowBlank="1" showInputMessage="1" showErrorMessage="1" promptTitle="Tarifneutrale Ausbuchung" prompt="Keine negative Werte_x000a_" sqref="P114 L128 P128 H142 L142 P142" xr:uid="{32C9750B-9C93-4479-B0A1-F0DBBD67FE1A}">
      <formula1>0</formula1>
      <formula2>MAX(-G113,0)</formula2>
    </dataValidation>
  </dataValidations>
  <hyperlinks>
    <hyperlink ref="J24:K24" location="Grosswasserkraft!A1" display="Siehe Formular 5.4" xr:uid="{69328F89-AB09-42D5-8106-C8DA4A6FE54A}"/>
    <hyperlink ref="J23:K23" location="'Art. 6 Abs. 5bis StromVG'!A1" display="Siehe Formular 5.5" xr:uid="{73EF9FB2-5DED-486D-B250-3D37094671E3}"/>
    <hyperlink ref="J26:K26" location="'Art. 6 Abs. 5bis StromVG'!A1" display="Siehe Formular 5.5" xr:uid="{BCB4FC28-0E51-4537-9C80-93F47E7129FD}"/>
  </hyperlinks>
  <pageMargins left="0.39370078740157483" right="0.19685039370078741" top="0.70866141732283472" bottom="0.47244094488188981" header="0.31496062992125984" footer="0.23622047244094491"/>
  <pageSetup paperSize="8" scale="43" fitToHeight="2" orientation="landscape" r:id="rId1"/>
  <headerFooter scaleWithDoc="0">
    <oddHeader>&amp;C&amp;A; &amp;D</oddHeader>
    <oddFooter>&amp;LNachkalkulation Deckungsdifferenzen Energie 2028&amp;RSeite &amp;P von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9B26-5FAA-4778-9FC1-38E33C559E09}">
  <sheetPr codeName="Tabelle9">
    <outlinePr summaryBelow="0" summaryRight="0"/>
  </sheetPr>
  <dimension ref="A1:Y174"/>
  <sheetViews>
    <sheetView showGridLines="0" zoomScale="80" zoomScaleNormal="80" zoomScaleSheetLayoutView="55" workbookViewId="0">
      <selection activeCell="C8" sqref="C8"/>
    </sheetView>
  </sheetViews>
  <sheetFormatPr baseColWidth="10" defaultColWidth="11" defaultRowHeight="14" outlineLevelRow="1" x14ac:dyDescent="0.3"/>
  <cols>
    <col min="1" max="1" width="7.81640625" style="2" customWidth="1"/>
    <col min="2" max="2" width="54.81640625" style="2" customWidth="1"/>
    <col min="3" max="3" width="23.7265625" style="2" customWidth="1"/>
    <col min="4" max="4" width="18.7265625" style="2" customWidth="1"/>
    <col min="5" max="5" width="19.1796875" style="2" customWidth="1"/>
    <col min="6" max="7" width="18.7265625" style="2" customWidth="1"/>
    <col min="8" max="8" width="17.453125" style="2" customWidth="1"/>
    <col min="9" max="10" width="18.7265625" style="2" customWidth="1"/>
    <col min="11" max="11" width="18.1796875" style="2" customWidth="1"/>
    <col min="12" max="13" width="17.453125" style="2" customWidth="1"/>
    <col min="14" max="14" width="18.7265625" style="2" customWidth="1"/>
    <col min="15" max="21" width="17.453125" style="2" customWidth="1"/>
    <col min="22" max="22" width="14.7265625" style="2" customWidth="1"/>
    <col min="23" max="23" width="11.453125" style="2" customWidth="1"/>
    <col min="24" max="16384" width="11" style="2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28"/>
      <c r="M1" s="228"/>
      <c r="N1" s="228"/>
      <c r="O1" s="228"/>
      <c r="P1" s="228"/>
      <c r="Q1" s="228"/>
      <c r="R1" s="229"/>
      <c r="S1" s="230"/>
      <c r="T1" s="228"/>
      <c r="U1" s="228"/>
      <c r="V1" s="228"/>
      <c r="W1" s="228"/>
      <c r="X1" s="103"/>
      <c r="Y1" s="103"/>
    </row>
    <row r="2" spans="1:25" ht="15.5" x14ac:dyDescent="0.35">
      <c r="A2" s="1"/>
      <c r="B2" s="3" t="str">
        <f>"Kostenrechnung für Tarife "&amp;C8+2</f>
        <v>Kostenrechnung für Tarife 2031</v>
      </c>
      <c r="C2" s="1"/>
      <c r="D2" s="1"/>
      <c r="E2" s="1"/>
      <c r="F2" s="1"/>
      <c r="G2" s="1"/>
      <c r="H2" s="1"/>
      <c r="I2" s="1"/>
      <c r="J2" s="1"/>
      <c r="K2" s="1"/>
      <c r="L2" s="228"/>
      <c r="M2" s="228"/>
      <c r="N2" s="228"/>
      <c r="O2" s="228"/>
      <c r="P2" s="228"/>
      <c r="Q2" s="228"/>
      <c r="R2" s="229"/>
      <c r="S2" s="230"/>
      <c r="T2" s="228"/>
      <c r="U2" s="228"/>
      <c r="V2" s="228"/>
      <c r="W2" s="228"/>
      <c r="X2" s="103"/>
      <c r="Y2" s="103"/>
    </row>
    <row r="3" spans="1:25" ht="4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03"/>
      <c r="Y3" s="103"/>
    </row>
    <row r="4" spans="1:25" ht="20" x14ac:dyDescent="0.4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228"/>
      <c r="M4" s="228"/>
      <c r="N4" s="228"/>
      <c r="O4" s="228"/>
      <c r="P4" s="228"/>
      <c r="Q4" s="228"/>
      <c r="R4" s="228"/>
      <c r="S4" s="103"/>
      <c r="T4" s="103"/>
      <c r="U4" s="103"/>
      <c r="V4" s="103"/>
      <c r="W4" s="103"/>
      <c r="X4" s="103"/>
      <c r="Y4" s="103"/>
    </row>
    <row r="5" spans="1:25" ht="20.25" customHeight="1" x14ac:dyDescent="0.4">
      <c r="A5" s="1"/>
      <c r="B5" s="4" t="str">
        <f>"Deckungsdifferenzen (DD) Energie "&amp;C8</f>
        <v>Deckungsdifferenzen (DD) Energie 2029</v>
      </c>
      <c r="C5" s="1"/>
      <c r="D5" s="1"/>
      <c r="E5" s="1"/>
      <c r="F5" s="1"/>
      <c r="G5" s="1"/>
      <c r="H5" s="1"/>
      <c r="I5" s="1"/>
      <c r="J5" s="1"/>
      <c r="K5" s="1"/>
      <c r="L5" s="228"/>
      <c r="M5" s="228"/>
      <c r="N5" s="228"/>
      <c r="O5" s="228"/>
      <c r="P5" s="228"/>
      <c r="Q5" s="228"/>
      <c r="R5" s="228"/>
      <c r="S5" s="103"/>
      <c r="T5" s="103"/>
      <c r="U5" s="103"/>
      <c r="V5" s="103"/>
      <c r="W5" s="103"/>
      <c r="X5" s="103"/>
      <c r="Y5" s="103"/>
    </row>
    <row r="6" spans="1:25" x14ac:dyDescent="0.3">
      <c r="A6" s="1"/>
      <c r="B6" s="5" t="s">
        <v>105</v>
      </c>
      <c r="C6" s="1"/>
      <c r="D6" s="1"/>
      <c r="E6" s="1"/>
      <c r="F6" s="1"/>
      <c r="G6" s="1"/>
      <c r="H6" s="1"/>
      <c r="I6" s="1"/>
      <c r="J6" s="1"/>
      <c r="K6" s="1"/>
      <c r="L6" s="228"/>
      <c r="M6" s="228"/>
      <c r="N6" s="228"/>
      <c r="O6" s="228"/>
      <c r="P6" s="228"/>
      <c r="Q6" s="228"/>
      <c r="R6" s="228"/>
      <c r="S6" s="103"/>
      <c r="T6" s="103"/>
      <c r="U6" s="103"/>
      <c r="V6" s="103"/>
      <c r="W6" s="103"/>
      <c r="X6" s="103"/>
      <c r="Y6" s="103"/>
    </row>
    <row r="7" spans="1:25" ht="7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28"/>
      <c r="M7" s="228"/>
      <c r="N7" s="228"/>
      <c r="O7" s="228"/>
      <c r="P7" s="228"/>
      <c r="Q7" s="228"/>
      <c r="R7" s="228"/>
      <c r="S7" s="228"/>
      <c r="T7" s="103"/>
      <c r="U7" s="103"/>
      <c r="V7" s="103"/>
      <c r="W7" s="103"/>
      <c r="X7" s="103"/>
      <c r="Y7" s="103"/>
    </row>
    <row r="8" spans="1:25" s="9" customFormat="1" ht="15" customHeight="1" x14ac:dyDescent="0.3">
      <c r="A8" s="6"/>
      <c r="B8" s="12" t="s">
        <v>115</v>
      </c>
      <c r="C8" s="8">
        <v>2029</v>
      </c>
      <c r="D8" s="6"/>
      <c r="E8" s="6"/>
      <c r="F8" s="6"/>
      <c r="G8" s="6"/>
      <c r="H8" s="6"/>
      <c r="I8" s="6"/>
      <c r="J8" s="6"/>
      <c r="K8" s="6"/>
      <c r="L8" s="49"/>
      <c r="M8" s="49"/>
      <c r="N8" s="49"/>
      <c r="O8" s="49"/>
      <c r="P8" s="49"/>
      <c r="Q8" s="49"/>
      <c r="R8" s="49"/>
      <c r="S8" s="49"/>
      <c r="T8" s="31"/>
      <c r="U8" s="31"/>
      <c r="V8" s="31"/>
      <c r="W8" s="31"/>
      <c r="X8" s="31"/>
      <c r="Y8" s="31"/>
    </row>
    <row r="9" spans="1:25" s="9" customFormat="1" ht="7.5" customHeight="1" x14ac:dyDescent="0.3">
      <c r="A9" s="6"/>
      <c r="C9" s="7"/>
      <c r="D9" s="6"/>
      <c r="E9" s="6"/>
      <c r="F9" s="6"/>
      <c r="J9" s="6"/>
      <c r="K9" s="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31"/>
      <c r="Y9" s="31"/>
    </row>
    <row r="10" spans="1:25" s="9" customFormat="1" ht="7.5" customHeight="1" x14ac:dyDescent="0.3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31"/>
      <c r="Y10" s="31"/>
    </row>
    <row r="11" spans="1:25" s="9" customFormat="1" ht="15" customHeight="1" x14ac:dyDescent="0.3">
      <c r="A11" s="6"/>
      <c r="B11" s="7" t="s">
        <v>1</v>
      </c>
      <c r="C11" s="13"/>
      <c r="D11" s="14"/>
      <c r="E11" s="13"/>
      <c r="F11" s="6"/>
      <c r="G11" s="6"/>
      <c r="H11" s="6"/>
      <c r="I11" s="6"/>
      <c r="J11" s="6"/>
      <c r="K11" s="6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31"/>
      <c r="Y11" s="31"/>
    </row>
    <row r="12" spans="1:25" ht="15" customHeight="1" x14ac:dyDescent="0.3">
      <c r="A12" s="1"/>
      <c r="B12" s="15" t="s">
        <v>2</v>
      </c>
      <c r="C12" s="16">
        <v>47119</v>
      </c>
      <c r="D12" s="15" t="s">
        <v>3</v>
      </c>
      <c r="E12" s="16">
        <v>47483</v>
      </c>
      <c r="F12" s="1"/>
      <c r="G12" s="1"/>
      <c r="H12" s="1"/>
      <c r="I12" s="1"/>
      <c r="J12" s="1"/>
      <c r="K12" s="1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103"/>
      <c r="Y12" s="103"/>
    </row>
    <row r="13" spans="1:25" x14ac:dyDescent="0.3">
      <c r="A13" s="1"/>
      <c r="B13" s="12"/>
      <c r="C13" s="17"/>
      <c r="D13" s="1"/>
      <c r="E13" s="1"/>
      <c r="F13" s="1"/>
      <c r="G13" s="1"/>
      <c r="H13" s="1"/>
      <c r="I13" s="1"/>
      <c r="J13" s="1"/>
      <c r="K13" s="1"/>
      <c r="L13" s="228"/>
      <c r="M13" s="228"/>
      <c r="N13" s="231"/>
      <c r="O13" s="228"/>
      <c r="P13" s="228"/>
      <c r="Q13" s="228"/>
      <c r="R13" s="228"/>
      <c r="S13" s="228"/>
      <c r="T13" s="228"/>
      <c r="U13" s="228"/>
      <c r="V13" s="228"/>
      <c r="W13" s="228"/>
      <c r="X13" s="103"/>
      <c r="Y13" s="103"/>
    </row>
    <row r="14" spans="1:25" s="30" customFormat="1" ht="20.149999999999999" customHeight="1" x14ac:dyDescent="0.35">
      <c r="A14" s="25"/>
      <c r="B14" s="384" t="s">
        <v>4</v>
      </c>
      <c r="C14" s="385"/>
      <c r="D14" s="25"/>
      <c r="E14" s="387">
        <v>5.1100000000000003</v>
      </c>
      <c r="F14" s="388" t="s">
        <v>116</v>
      </c>
      <c r="G14" s="25"/>
      <c r="H14" s="25"/>
      <c r="I14" s="25"/>
      <c r="J14" s="25"/>
      <c r="K14" s="25"/>
      <c r="L14" s="233"/>
      <c r="M14" s="233"/>
      <c r="N14" s="231"/>
      <c r="O14" s="233"/>
      <c r="P14" s="233"/>
      <c r="Q14" s="233"/>
      <c r="R14" s="233"/>
      <c r="S14" s="233"/>
      <c r="T14" s="233"/>
      <c r="U14" s="233"/>
      <c r="V14" s="233"/>
      <c r="W14" s="233"/>
      <c r="X14" s="171"/>
      <c r="Y14" s="171"/>
    </row>
    <row r="15" spans="1:25" ht="60" customHeight="1" thickBot="1" x14ac:dyDescent="0.4">
      <c r="A15" s="1"/>
      <c r="B15" s="335" t="s">
        <v>157</v>
      </c>
      <c r="C15" s="3" t="str">
        <f>"IST-Gestehungskosten  "&amp;C8</f>
        <v>IST-Gestehungskosten  2029</v>
      </c>
      <c r="D15" s="1"/>
      <c r="E15" s="1"/>
      <c r="F15" s="1"/>
      <c r="G15" s="1"/>
      <c r="H15" s="1"/>
      <c r="I15" s="1"/>
      <c r="J15" s="1"/>
      <c r="K15" s="1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103"/>
      <c r="Y15" s="103"/>
    </row>
    <row r="16" spans="1:25" x14ac:dyDescent="0.3">
      <c r="A16" s="1"/>
      <c r="B16" s="412" t="s">
        <v>5</v>
      </c>
      <c r="C16" s="161" t="s">
        <v>6</v>
      </c>
      <c r="D16" s="20">
        <f>IF(C12&lt;&gt;"",C12,"")</f>
        <v>47119</v>
      </c>
      <c r="E16" s="21" t="s">
        <v>3</v>
      </c>
      <c r="F16" s="20">
        <f>IF(E12&lt;&gt;"",E12,"")</f>
        <v>47483</v>
      </c>
      <c r="G16" s="161"/>
      <c r="H16" s="161"/>
      <c r="I16" s="161"/>
      <c r="J16" s="414"/>
      <c r="K16" s="415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103"/>
      <c r="Y16" s="103"/>
    </row>
    <row r="17" spans="1:25" ht="44.5" customHeight="1" x14ac:dyDescent="0.3">
      <c r="A17" s="1"/>
      <c r="B17" s="413"/>
      <c r="C17" s="22" t="s">
        <v>7</v>
      </c>
      <c r="D17" s="23" t="s">
        <v>8</v>
      </c>
      <c r="E17" s="22" t="s">
        <v>9</v>
      </c>
      <c r="F17" s="23" t="s">
        <v>10</v>
      </c>
      <c r="G17" s="23" t="s">
        <v>11</v>
      </c>
      <c r="H17" s="24" t="s">
        <v>12</v>
      </c>
      <c r="I17" s="23" t="s">
        <v>13</v>
      </c>
      <c r="J17" s="416" t="s">
        <v>14</v>
      </c>
      <c r="K17" s="41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103"/>
      <c r="Y17" s="103"/>
    </row>
    <row r="18" spans="1:25" s="30" customFormat="1" ht="18" customHeight="1" thickBot="1" x14ac:dyDescent="0.4">
      <c r="A18" s="25"/>
      <c r="B18" s="26" t="s">
        <v>15</v>
      </c>
      <c r="C18" s="27">
        <v>2000000</v>
      </c>
      <c r="D18" s="248">
        <v>1820000</v>
      </c>
      <c r="E18" s="85">
        <f>E29</f>
        <v>15900</v>
      </c>
      <c r="F18" s="85">
        <f>F29</f>
        <v>13950</v>
      </c>
      <c r="G18" s="253">
        <f>F18/E18</f>
        <v>0.87735849056603776</v>
      </c>
      <c r="H18" s="28">
        <f>C18/E18/10</f>
        <v>12.578616352201257</v>
      </c>
      <c r="I18" s="28">
        <f>D18/F18/10</f>
        <v>13.046594982078853</v>
      </c>
      <c r="J18" s="410"/>
      <c r="K18" s="411"/>
      <c r="L18" s="29"/>
      <c r="M18" s="29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171"/>
      <c r="Y18" s="171"/>
    </row>
    <row r="19" spans="1:25" x14ac:dyDescent="0.3">
      <c r="B19" s="31"/>
      <c r="C19" s="32"/>
      <c r="D19" s="32"/>
      <c r="E19" s="32"/>
      <c r="F19" s="32"/>
      <c r="G19" s="33"/>
      <c r="H19" s="34"/>
      <c r="I19" s="34"/>
      <c r="J19" s="34"/>
      <c r="K19" s="35"/>
      <c r="L19" s="31"/>
      <c r="M19" s="31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 ht="15" customHeight="1" thickBot="1" x14ac:dyDescent="0.4">
      <c r="B20" s="36" t="s">
        <v>16</v>
      </c>
      <c r="C20" s="36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ht="43.5" customHeight="1" x14ac:dyDescent="0.3">
      <c r="A21" s="1"/>
      <c r="B21" s="37" t="s">
        <v>17</v>
      </c>
      <c r="C21" s="38" t="s">
        <v>18</v>
      </c>
      <c r="D21" s="39" t="s">
        <v>8</v>
      </c>
      <c r="E21" s="38" t="s">
        <v>9</v>
      </c>
      <c r="F21" s="40" t="s">
        <v>10</v>
      </c>
      <c r="G21" s="38" t="s">
        <v>19</v>
      </c>
      <c r="H21" s="41" t="s">
        <v>12</v>
      </c>
      <c r="I21" s="39" t="s">
        <v>13</v>
      </c>
      <c r="J21" s="408" t="s">
        <v>14</v>
      </c>
      <c r="K21" s="409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103"/>
      <c r="Y21" s="103"/>
    </row>
    <row r="22" spans="1:25" ht="15" customHeight="1" x14ac:dyDescent="0.3">
      <c r="A22" s="1"/>
      <c r="B22" s="42" t="s">
        <v>20</v>
      </c>
      <c r="C22" s="43">
        <v>215000</v>
      </c>
      <c r="D22" s="43">
        <v>160000</v>
      </c>
      <c r="E22" s="43">
        <v>2900</v>
      </c>
      <c r="F22" s="43">
        <v>2000</v>
      </c>
      <c r="G22" s="44">
        <f>E22/(E22+E25)</f>
        <v>0.17575757575757575</v>
      </c>
      <c r="H22" s="45">
        <f t="shared" ref="H22:I29" si="0">C22/E22/10</f>
        <v>7.4137931034482758</v>
      </c>
      <c r="I22" s="45">
        <f t="shared" si="0"/>
        <v>8</v>
      </c>
      <c r="J22" s="405"/>
      <c r="K22" s="406"/>
      <c r="L22" s="234"/>
      <c r="M22" s="234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103"/>
      <c r="Y22" s="103"/>
    </row>
    <row r="23" spans="1:25" ht="15" customHeight="1" x14ac:dyDescent="0.3">
      <c r="A23" s="1"/>
      <c r="B23" s="46" t="s">
        <v>21</v>
      </c>
      <c r="C23" s="43">
        <v>215000</v>
      </c>
      <c r="D23" s="43">
        <v>160000</v>
      </c>
      <c r="E23" s="43">
        <v>2900</v>
      </c>
      <c r="F23" s="43">
        <v>2000</v>
      </c>
      <c r="G23" s="47">
        <f>F23/E23</f>
        <v>0.68965517241379315</v>
      </c>
      <c r="H23" s="48">
        <f>C23/E23/10</f>
        <v>7.4137931034482758</v>
      </c>
      <c r="I23" s="48">
        <f>D23/F23/10</f>
        <v>8</v>
      </c>
      <c r="J23" s="405" t="s">
        <v>22</v>
      </c>
      <c r="K23" s="406"/>
      <c r="L23" s="234"/>
      <c r="M23" s="234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103"/>
      <c r="Y23" s="103"/>
    </row>
    <row r="24" spans="1:25" ht="15" customHeight="1" x14ac:dyDescent="0.3">
      <c r="A24" s="1"/>
      <c r="B24" s="46" t="s">
        <v>23</v>
      </c>
      <c r="C24" s="43">
        <v>0</v>
      </c>
      <c r="D24" s="43">
        <v>0</v>
      </c>
      <c r="E24" s="43">
        <v>0</v>
      </c>
      <c r="F24" s="43">
        <v>0</v>
      </c>
      <c r="G24" s="47" t="e">
        <f>F24/E24</f>
        <v>#DIV/0!</v>
      </c>
      <c r="H24" s="48" t="e">
        <f>C24/E24/10</f>
        <v>#DIV/0!</v>
      </c>
      <c r="I24" s="48" t="e">
        <f>D24/F24/10</f>
        <v>#DIV/0!</v>
      </c>
      <c r="J24" s="405" t="s">
        <v>24</v>
      </c>
      <c r="K24" s="406"/>
      <c r="L24" s="49"/>
      <c r="M24" s="49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103"/>
      <c r="Y24" s="103"/>
    </row>
    <row r="25" spans="1:25" ht="15" customHeight="1" x14ac:dyDescent="0.3">
      <c r="A25" s="50"/>
      <c r="B25" s="42" t="s">
        <v>25</v>
      </c>
      <c r="C25" s="43">
        <v>1800000</v>
      </c>
      <c r="D25" s="43">
        <v>1650000</v>
      </c>
      <c r="E25" s="43">
        <v>13600</v>
      </c>
      <c r="F25" s="43">
        <v>11950</v>
      </c>
      <c r="G25" s="44">
        <f>E25/(E22+E25)</f>
        <v>0.82424242424242422</v>
      </c>
      <c r="H25" s="45">
        <f t="shared" si="0"/>
        <v>13.235294117647058</v>
      </c>
      <c r="I25" s="45">
        <f t="shared" si="0"/>
        <v>13.807531380753138</v>
      </c>
      <c r="J25" s="405"/>
      <c r="K25" s="406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103"/>
      <c r="Y25" s="103"/>
    </row>
    <row r="26" spans="1:25" ht="15" customHeight="1" x14ac:dyDescent="0.3">
      <c r="A26" s="50"/>
      <c r="B26" s="46" t="s">
        <v>21</v>
      </c>
      <c r="C26" s="43">
        <v>430000</v>
      </c>
      <c r="D26" s="43">
        <v>430000</v>
      </c>
      <c r="E26" s="43">
        <v>3000</v>
      </c>
      <c r="F26" s="43">
        <v>3000</v>
      </c>
      <c r="G26" s="47">
        <f>F26/E26</f>
        <v>1</v>
      </c>
      <c r="H26" s="48">
        <f>C26/E26/10</f>
        <v>14.333333333333334</v>
      </c>
      <c r="I26" s="48">
        <f>D26/F26/10</f>
        <v>14.333333333333334</v>
      </c>
      <c r="J26" s="405" t="s">
        <v>22</v>
      </c>
      <c r="K26" s="406"/>
      <c r="L26" s="234"/>
      <c r="M26" s="23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103"/>
      <c r="Y26" s="103"/>
    </row>
    <row r="27" spans="1:25" ht="15" customHeight="1" x14ac:dyDescent="0.3">
      <c r="A27" s="51"/>
      <c r="B27" s="42" t="s">
        <v>26</v>
      </c>
      <c r="C27" s="43">
        <v>36500</v>
      </c>
      <c r="D27" s="43">
        <v>31100</v>
      </c>
      <c r="E27" s="43">
        <f>E25-E26</f>
        <v>10600</v>
      </c>
      <c r="F27" s="43">
        <f>F25-F26</f>
        <v>8950</v>
      </c>
      <c r="G27" s="47">
        <f>F27/E27</f>
        <v>0.84433962264150941</v>
      </c>
      <c r="H27" s="45">
        <f>C27/E27/10</f>
        <v>0.34433962264150941</v>
      </c>
      <c r="I27" s="45">
        <f>D27/F27/10</f>
        <v>0.34748603351955309</v>
      </c>
      <c r="J27" s="405"/>
      <c r="K27" s="40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03"/>
      <c r="Y27" s="103"/>
    </row>
    <row r="28" spans="1:25" s="30" customFormat="1" x14ac:dyDescent="0.35">
      <c r="A28" s="51"/>
      <c r="B28" s="52" t="s">
        <v>27</v>
      </c>
      <c r="C28" s="53">
        <v>-73000</v>
      </c>
      <c r="D28" s="54"/>
      <c r="E28" s="53">
        <v>-600</v>
      </c>
      <c r="F28" s="54"/>
      <c r="G28" s="55">
        <f>E28/(E22+E25)</f>
        <v>-3.6363636363636362E-2</v>
      </c>
      <c r="H28" s="56">
        <f t="shared" si="0"/>
        <v>12.166666666666668</v>
      </c>
      <c r="I28" s="56" t="e">
        <f t="shared" si="0"/>
        <v>#DIV/0!</v>
      </c>
      <c r="J28" s="407"/>
      <c r="K28" s="406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171"/>
      <c r="Y28" s="171"/>
    </row>
    <row r="29" spans="1:25" s="30" customFormat="1" ht="18" customHeight="1" x14ac:dyDescent="0.35">
      <c r="A29" s="51"/>
      <c r="B29" s="57" t="s">
        <v>28</v>
      </c>
      <c r="C29" s="54">
        <f>C22+C25+C27+C28</f>
        <v>1978500</v>
      </c>
      <c r="D29" s="54">
        <f>D22+D25+D27</f>
        <v>1841100</v>
      </c>
      <c r="E29" s="54">
        <f>E22+E25+E28</f>
        <v>15900</v>
      </c>
      <c r="F29" s="54">
        <f>F22+F25</f>
        <v>13950</v>
      </c>
      <c r="G29" s="55">
        <f>G22+G25+G28</f>
        <v>0.96363636363636362</v>
      </c>
      <c r="H29" s="56">
        <f t="shared" si="0"/>
        <v>12.443396226415095</v>
      </c>
      <c r="I29" s="56">
        <f t="shared" si="0"/>
        <v>13.197849462365591</v>
      </c>
      <c r="J29" s="405"/>
      <c r="K29" s="406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171"/>
      <c r="Y29" s="171"/>
    </row>
    <row r="30" spans="1:25" ht="15" customHeight="1" x14ac:dyDescent="0.3">
      <c r="A30" s="58"/>
      <c r="B30" s="59" t="s">
        <v>29</v>
      </c>
      <c r="C30" s="60">
        <v>55800</v>
      </c>
      <c r="D30" s="60">
        <v>52500</v>
      </c>
      <c r="E30" s="61"/>
      <c r="F30" s="61"/>
      <c r="G30" s="62"/>
      <c r="H30" s="63">
        <f>C30/E29/10</f>
        <v>0.35094339622641513</v>
      </c>
      <c r="I30" s="63">
        <f>D30/F29/10</f>
        <v>0.37634408602150538</v>
      </c>
      <c r="J30" s="405"/>
      <c r="K30" s="406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03"/>
      <c r="Y30" s="103"/>
    </row>
    <row r="31" spans="1:25" ht="15" customHeight="1" x14ac:dyDescent="0.3">
      <c r="B31" s="42" t="s">
        <v>30</v>
      </c>
      <c r="C31" s="64"/>
      <c r="D31" s="64">
        <v>0</v>
      </c>
      <c r="E31" s="65"/>
      <c r="F31" s="65"/>
      <c r="G31" s="66"/>
      <c r="H31" s="56">
        <f>C31/E29/10</f>
        <v>0</v>
      </c>
      <c r="I31" s="56">
        <f>D31/F29/10</f>
        <v>0</v>
      </c>
      <c r="J31" s="405"/>
      <c r="K31" s="406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103"/>
      <c r="Y31" s="103"/>
    </row>
    <row r="32" spans="1:25" ht="15" customHeight="1" x14ac:dyDescent="0.3">
      <c r="A32" s="58"/>
      <c r="B32" s="42" t="s">
        <v>31</v>
      </c>
      <c r="C32" s="67"/>
      <c r="D32" s="43">
        <v>55500</v>
      </c>
      <c r="E32" s="67"/>
      <c r="F32" s="67"/>
      <c r="G32" s="68"/>
      <c r="H32" s="45">
        <f>C32/E29/10</f>
        <v>0</v>
      </c>
      <c r="I32" s="45">
        <f>D32/F29/10</f>
        <v>0.39784946236559138</v>
      </c>
      <c r="J32" s="405"/>
      <c r="K32" s="406"/>
      <c r="L32" s="228"/>
      <c r="M32" s="228"/>
      <c r="N32" s="231"/>
      <c r="O32" s="228"/>
      <c r="P32" s="228"/>
      <c r="Q32" s="228"/>
      <c r="R32" s="228"/>
      <c r="S32" s="228"/>
      <c r="T32" s="228"/>
      <c r="U32" s="228"/>
      <c r="V32" s="228"/>
      <c r="W32" s="228"/>
      <c r="X32" s="103"/>
      <c r="Y32" s="103"/>
    </row>
    <row r="33" spans="1:25" s="30" customFormat="1" ht="18" customHeight="1" x14ac:dyDescent="0.3">
      <c r="A33" s="25"/>
      <c r="B33" s="57" t="s">
        <v>32</v>
      </c>
      <c r="C33" s="54">
        <f>C29+C30+C31</f>
        <v>2034300</v>
      </c>
      <c r="D33" s="54">
        <f>D29+D30+D31+D32</f>
        <v>1949100</v>
      </c>
      <c r="E33" s="54">
        <f>E29</f>
        <v>15900</v>
      </c>
      <c r="F33" s="54">
        <f>F29</f>
        <v>13950</v>
      </c>
      <c r="G33" s="55">
        <f>G29</f>
        <v>0.96363636363636362</v>
      </c>
      <c r="H33" s="56">
        <f>C33/E33/10</f>
        <v>12.794339622641509</v>
      </c>
      <c r="I33" s="56">
        <f>D33/F33/10</f>
        <v>13.972043010752689</v>
      </c>
      <c r="J33" s="423" t="str">
        <f>IFERROR(VLOOKUP(N32,#REF!,4,FALSE),"")</f>
        <v/>
      </c>
      <c r="K33" s="424"/>
      <c r="L33" s="234"/>
      <c r="M33" s="234"/>
      <c r="N33" s="171"/>
      <c r="O33" s="233"/>
      <c r="P33" s="233"/>
      <c r="Q33" s="233"/>
      <c r="R33" s="233"/>
      <c r="S33" s="233"/>
      <c r="T33" s="233"/>
      <c r="U33" s="233"/>
      <c r="V33" s="233"/>
      <c r="W33" s="233"/>
      <c r="X33" s="171"/>
      <c r="Y33" s="171"/>
    </row>
    <row r="34" spans="1:25" ht="18" customHeight="1" thickBot="1" x14ac:dyDescent="0.35">
      <c r="A34" s="1"/>
      <c r="B34" s="69" t="s">
        <v>33</v>
      </c>
      <c r="C34" s="70"/>
      <c r="D34" s="71">
        <f>'DD Energie 2028'!F153</f>
        <v>-89268.80465079</v>
      </c>
      <c r="E34" s="70"/>
      <c r="F34" s="70"/>
      <c r="G34" s="72"/>
      <c r="H34" s="73"/>
      <c r="I34" s="73"/>
      <c r="J34" s="425"/>
      <c r="K34" s="426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103"/>
      <c r="Y34" s="103"/>
    </row>
    <row r="35" spans="1:25" ht="18" customHeight="1" thickBot="1" x14ac:dyDescent="0.35">
      <c r="B35" s="69" t="s">
        <v>34</v>
      </c>
      <c r="C35" s="74"/>
      <c r="D35" s="74">
        <f>D34+D33</f>
        <v>1859831.1953492099</v>
      </c>
      <c r="E35" s="70"/>
      <c r="F35" s="70"/>
      <c r="G35" s="72"/>
      <c r="H35" s="73"/>
      <c r="I35" s="73"/>
      <c r="J35" s="427"/>
      <c r="K35" s="4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103"/>
      <c r="Y35" s="103"/>
    </row>
    <row r="36" spans="1:25" ht="8.15" customHeight="1" thickBot="1" x14ac:dyDescent="0.35">
      <c r="B36" s="75"/>
      <c r="C36" s="75"/>
      <c r="E36" s="76"/>
      <c r="F36" s="31"/>
      <c r="G36" s="31"/>
      <c r="H36" s="31"/>
      <c r="I36" s="31"/>
      <c r="J36" s="31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s="30" customFormat="1" ht="18" customHeight="1" thickBot="1" x14ac:dyDescent="0.4">
      <c r="A37" s="25"/>
      <c r="B37" s="429" t="str">
        <f>"Deckungsdifferenzen Energie aus Geschäftsjahr "&amp;C8 &amp;" (+ Überdeckung)"</f>
        <v>Deckungsdifferenzen Energie aus Geschäftsjahr 2029 (+ Überdeckung)</v>
      </c>
      <c r="C37" s="430"/>
      <c r="D37" s="77">
        <f>D18-D35</f>
        <v>-39831.195349209942</v>
      </c>
      <c r="E37" s="440" t="str">
        <f>IF(D37=0,"",IF(D37&gt;0,"Dieser Betrag muss den Endkunden gutgeschrieben werden.","Dieser Betrag kann den Endkunden verrechnet werden."))</f>
        <v>Dieser Betrag kann den Endkunden verrechnet werden.</v>
      </c>
      <c r="F37" s="441"/>
      <c r="G37" s="441"/>
      <c r="H37" s="441"/>
      <c r="I37" s="441"/>
      <c r="J37" s="441"/>
      <c r="K37" s="442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171"/>
      <c r="Y37" s="171"/>
    </row>
    <row r="38" spans="1:25" x14ac:dyDescent="0.3">
      <c r="A38" s="1"/>
      <c r="B38" s="12"/>
      <c r="C38" s="49"/>
      <c r="D38" s="49"/>
      <c r="E38" s="78"/>
      <c r="F38" s="79"/>
      <c r="G38" s="49"/>
      <c r="H38" s="49"/>
      <c r="I38" s="49"/>
      <c r="J38" s="49"/>
      <c r="K38" s="1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03"/>
      <c r="Y38" s="103"/>
    </row>
    <row r="39" spans="1:25" x14ac:dyDescent="0.3">
      <c r="A39" s="1"/>
      <c r="B39" s="12"/>
      <c r="C39" s="49"/>
      <c r="D39" s="49"/>
      <c r="E39" s="32"/>
      <c r="F39" s="31"/>
      <c r="G39" s="31"/>
      <c r="H39" s="49"/>
      <c r="I39" s="49"/>
      <c r="J39" s="49"/>
      <c r="K39" s="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03"/>
      <c r="Y39" s="103"/>
    </row>
    <row r="40" spans="1:25" ht="15.5" x14ac:dyDescent="0.35">
      <c r="A40" s="1"/>
      <c r="B40" s="3" t="s">
        <v>35</v>
      </c>
      <c r="C40" s="49"/>
      <c r="D40" s="49"/>
      <c r="E40" s="32"/>
      <c r="F40" s="31"/>
      <c r="G40" s="49"/>
      <c r="H40" s="313"/>
      <c r="I40" s="49"/>
      <c r="J40" s="49"/>
      <c r="K40" s="1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03"/>
      <c r="Y40" s="103"/>
    </row>
    <row r="41" spans="1:25" ht="14.5" thickBot="1" x14ac:dyDescent="0.35">
      <c r="A41" s="1"/>
      <c r="B41" s="80" t="s">
        <v>36</v>
      </c>
      <c r="C41" s="81" t="s">
        <v>37</v>
      </c>
      <c r="D41" s="81" t="s">
        <v>38</v>
      </c>
      <c r="E41" s="82" t="s">
        <v>14</v>
      </c>
      <c r="F41" s="31"/>
      <c r="G41" s="49"/>
      <c r="H41" s="49"/>
      <c r="I41" s="49"/>
      <c r="J41" s="49"/>
      <c r="K41" s="1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103"/>
      <c r="Y41" s="103"/>
    </row>
    <row r="42" spans="1:25" s="30" customFormat="1" ht="18" customHeight="1" thickBot="1" x14ac:dyDescent="0.4">
      <c r="A42" s="25"/>
      <c r="B42" s="159" t="s">
        <v>39</v>
      </c>
      <c r="C42" s="330"/>
      <c r="D42" s="390">
        <v>0</v>
      </c>
      <c r="E42" s="431"/>
      <c r="F42" s="432"/>
      <c r="G42" s="432"/>
      <c r="H42" s="432"/>
      <c r="I42" s="432"/>
      <c r="J42" s="432"/>
      <c r="K42" s="433"/>
      <c r="L42" s="231"/>
      <c r="M42" s="231"/>
      <c r="N42" s="231"/>
      <c r="O42" s="233"/>
      <c r="P42" s="233"/>
      <c r="Q42" s="233"/>
      <c r="R42" s="233"/>
      <c r="S42" s="233"/>
      <c r="T42" s="233"/>
      <c r="U42" s="233"/>
      <c r="V42" s="233"/>
      <c r="W42" s="233"/>
      <c r="X42" s="171"/>
      <c r="Y42" s="171"/>
    </row>
    <row r="43" spans="1:25" x14ac:dyDescent="0.3">
      <c r="A43" s="1"/>
      <c r="B43" s="12"/>
      <c r="C43" s="49"/>
      <c r="D43" s="49"/>
      <c r="E43" s="391"/>
      <c r="F43" s="392"/>
      <c r="G43" s="393"/>
      <c r="H43" s="393"/>
      <c r="I43" s="393"/>
      <c r="J43" s="393"/>
      <c r="K43" s="50"/>
      <c r="L43" s="232"/>
      <c r="M43" s="232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03"/>
      <c r="Y43" s="103"/>
    </row>
    <row r="44" spans="1:25" ht="15.5" x14ac:dyDescent="0.35">
      <c r="A44" s="1"/>
      <c r="B44" s="3" t="s">
        <v>40</v>
      </c>
      <c r="C44" s="49"/>
      <c r="D44" s="49"/>
      <c r="E44" s="391"/>
      <c r="F44" s="392"/>
      <c r="G44" s="393"/>
      <c r="H44" s="393"/>
      <c r="I44" s="393"/>
      <c r="J44" s="393"/>
      <c r="K44" s="50"/>
      <c r="L44" s="232"/>
      <c r="M44" s="232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03"/>
      <c r="Y44" s="103"/>
    </row>
    <row r="45" spans="1:25" ht="14.5" thickBot="1" x14ac:dyDescent="0.35">
      <c r="A45" s="1"/>
      <c r="B45" s="80" t="s">
        <v>41</v>
      </c>
      <c r="C45" s="81"/>
      <c r="D45" s="81" t="s">
        <v>38</v>
      </c>
      <c r="E45" s="394" t="s">
        <v>14</v>
      </c>
      <c r="F45" s="392"/>
      <c r="G45" s="393"/>
      <c r="H45" s="393"/>
      <c r="I45" s="393"/>
      <c r="J45" s="393"/>
      <c r="K45" s="50"/>
      <c r="L45" s="232"/>
      <c r="M45" s="232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03"/>
      <c r="Y45" s="103"/>
    </row>
    <row r="46" spans="1:25" s="84" customFormat="1" ht="15" customHeight="1" x14ac:dyDescent="0.35">
      <c r="A46" s="83"/>
      <c r="B46" s="434" t="s">
        <v>81</v>
      </c>
      <c r="C46" s="435"/>
      <c r="D46" s="315"/>
      <c r="E46" s="436"/>
      <c r="F46" s="436"/>
      <c r="G46" s="436"/>
      <c r="H46" s="436"/>
      <c r="I46" s="436"/>
      <c r="J46" s="436"/>
      <c r="K46" s="437"/>
      <c r="L46" s="235"/>
      <c r="M46" s="236"/>
      <c r="N46" s="171"/>
      <c r="O46" s="233"/>
      <c r="P46" s="233"/>
      <c r="Q46" s="233"/>
      <c r="R46" s="233"/>
      <c r="S46" s="233"/>
      <c r="T46" s="233"/>
      <c r="U46" s="233"/>
      <c r="V46" s="233"/>
      <c r="W46" s="233"/>
      <c r="X46" s="171"/>
      <c r="Y46" s="171"/>
    </row>
    <row r="47" spans="1:25" s="84" customFormat="1" ht="15" customHeight="1" x14ac:dyDescent="0.35">
      <c r="A47" s="83"/>
      <c r="B47" s="438"/>
      <c r="C47" s="439"/>
      <c r="D47" s="336"/>
      <c r="E47" s="447"/>
      <c r="F47" s="447"/>
      <c r="G47" s="447"/>
      <c r="H47" s="447"/>
      <c r="I47" s="447"/>
      <c r="J47" s="447"/>
      <c r="K47" s="448"/>
      <c r="L47" s="231"/>
      <c r="M47" s="231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171"/>
      <c r="Y47" s="171"/>
    </row>
    <row r="48" spans="1:25" s="84" customFormat="1" ht="15" customHeight="1" thickBot="1" x14ac:dyDescent="0.4">
      <c r="A48" s="83"/>
      <c r="B48" s="418" t="s">
        <v>42</v>
      </c>
      <c r="C48" s="419"/>
      <c r="D48" s="85">
        <f>SUM(D46:D47)</f>
        <v>0</v>
      </c>
      <c r="E48" s="420"/>
      <c r="F48" s="421"/>
      <c r="G48" s="421"/>
      <c r="H48" s="421"/>
      <c r="I48" s="421"/>
      <c r="J48" s="421"/>
      <c r="K48" s="422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171"/>
      <c r="Y48" s="171"/>
    </row>
    <row r="49" spans="1:25" s="87" customFormat="1" x14ac:dyDescent="0.3">
      <c r="A49" s="86"/>
      <c r="B49" s="12"/>
      <c r="C49" s="49"/>
      <c r="D49" s="49"/>
      <c r="E49" s="32"/>
      <c r="F49" s="31"/>
      <c r="G49" s="49"/>
      <c r="H49" s="49"/>
      <c r="I49" s="49"/>
      <c r="J49" s="49"/>
      <c r="K49" s="86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103"/>
      <c r="Y49" s="103"/>
    </row>
    <row r="50" spans="1:25" s="87" customFormat="1" ht="14.5" thickBot="1" x14ac:dyDescent="0.35">
      <c r="A50" s="86"/>
      <c r="B50" s="88" t="s">
        <v>43</v>
      </c>
      <c r="C50" s="49"/>
      <c r="D50" s="81" t="s">
        <v>38</v>
      </c>
      <c r="E50" s="32"/>
      <c r="F50" s="31"/>
      <c r="G50" s="49"/>
      <c r="H50" s="49"/>
      <c r="I50" s="49"/>
      <c r="J50" s="49"/>
      <c r="K50" s="86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03"/>
      <c r="Y50" s="103"/>
    </row>
    <row r="51" spans="1:25" s="84" customFormat="1" ht="15" customHeight="1" thickBot="1" x14ac:dyDescent="0.4">
      <c r="A51" s="83"/>
      <c r="B51" s="449" t="s">
        <v>44</v>
      </c>
      <c r="C51" s="450"/>
      <c r="D51" s="89">
        <f>D37+D42+D48</f>
        <v>-39831.195349209942</v>
      </c>
      <c r="E51" s="471" t="str">
        <f>IF(D51=0,"",IF(D51&gt;0,"Dieser Betrag muss den Endkunden gutgeschrieben werden.","Dieser Betrag kann den Endkunden verrechnet werden."))</f>
        <v>Dieser Betrag kann den Endkunden verrechnet werden.</v>
      </c>
      <c r="F51" s="472"/>
      <c r="G51" s="472"/>
      <c r="H51" s="472"/>
      <c r="I51" s="472"/>
      <c r="J51" s="472"/>
      <c r="K51" s="473"/>
      <c r="L51" s="237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71"/>
      <c r="Y51" s="171"/>
    </row>
    <row r="52" spans="1:25" s="84" customFormat="1" ht="15" customHeight="1" x14ac:dyDescent="0.35">
      <c r="B52" s="90"/>
      <c r="C52" s="90"/>
      <c r="D52" s="91"/>
      <c r="E52" s="454"/>
      <c r="F52" s="454"/>
      <c r="G52" s="454"/>
      <c r="H52" s="454"/>
      <c r="I52" s="454"/>
      <c r="J52" s="454"/>
      <c r="K52" s="454"/>
      <c r="L52" s="238"/>
      <c r="M52" s="238"/>
      <c r="N52" s="233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</row>
    <row r="53" spans="1:25" s="84" customFormat="1" ht="12" customHeight="1" x14ac:dyDescent="0.35">
      <c r="B53" s="92"/>
      <c r="C53" s="93"/>
      <c r="D53" s="93"/>
      <c r="E53" s="463"/>
      <c r="F53" s="464"/>
      <c r="G53" s="464"/>
      <c r="H53" s="464"/>
      <c r="I53" s="464"/>
      <c r="J53" s="464"/>
      <c r="K53" s="464"/>
      <c r="L53" s="239"/>
      <c r="M53" s="239"/>
      <c r="N53" s="240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</row>
    <row r="54" spans="1:25" s="84" customFormat="1" ht="15" customHeight="1" thickBot="1" x14ac:dyDescent="0.3">
      <c r="B54" s="90"/>
      <c r="C54" s="94"/>
      <c r="D54" s="254" t="s">
        <v>116</v>
      </c>
      <c r="E54" s="95"/>
      <c r="F54" s="95"/>
      <c r="G54" s="95"/>
      <c r="H54" s="95"/>
      <c r="I54" s="95"/>
      <c r="J54" s="95"/>
      <c r="K54" s="9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</row>
    <row r="55" spans="1:25" s="11" customFormat="1" ht="15" customHeight="1" thickBot="1" x14ac:dyDescent="0.3">
      <c r="A55" s="10"/>
      <c r="B55" s="429" t="s">
        <v>159</v>
      </c>
      <c r="C55" s="457"/>
      <c r="D55" s="163">
        <v>2.65</v>
      </c>
      <c r="E55" s="458"/>
      <c r="F55" s="459"/>
      <c r="G55" s="459"/>
      <c r="H55" s="459"/>
      <c r="I55" s="459"/>
      <c r="J55" s="459"/>
      <c r="K55" s="459"/>
      <c r="L55" s="29"/>
      <c r="M55" s="29"/>
      <c r="N55" s="171"/>
      <c r="O55" s="29"/>
      <c r="P55" s="29"/>
      <c r="Q55" s="29"/>
      <c r="R55" s="29"/>
      <c r="S55" s="29"/>
      <c r="T55" s="29"/>
      <c r="U55" s="171"/>
      <c r="V55" s="29"/>
      <c r="W55" s="29"/>
      <c r="X55" s="241"/>
      <c r="Y55" s="241"/>
    </row>
    <row r="56" spans="1:25" s="84" customFormat="1" ht="15" customHeight="1" x14ac:dyDescent="0.35">
      <c r="B56" s="90"/>
      <c r="C56" s="90"/>
      <c r="D56" s="91"/>
      <c r="E56" s="160"/>
      <c r="F56" s="95"/>
      <c r="G56" s="97"/>
      <c r="H56" s="97"/>
      <c r="I56" s="97"/>
      <c r="J56" s="97"/>
      <c r="K56" s="97"/>
      <c r="L56" s="242"/>
      <c r="M56" s="242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</row>
    <row r="57" spans="1:25" s="84" customFormat="1" ht="15" customHeight="1" x14ac:dyDescent="0.35">
      <c r="B57" s="90"/>
      <c r="C57" s="98"/>
      <c r="D57" s="91"/>
      <c r="E57" s="463"/>
      <c r="F57" s="464"/>
      <c r="G57" s="464"/>
      <c r="H57" s="464"/>
      <c r="I57" s="464"/>
      <c r="J57" s="464"/>
      <c r="K57" s="464"/>
      <c r="L57" s="29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</row>
    <row r="58" spans="1:25" s="84" customFormat="1" ht="15" customHeight="1" x14ac:dyDescent="0.35"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0"/>
      <c r="M58" s="90"/>
      <c r="N58" s="90"/>
      <c r="O58" s="90"/>
      <c r="P58" s="171"/>
      <c r="Q58" s="171"/>
      <c r="R58" s="171"/>
      <c r="S58" s="171"/>
      <c r="T58" s="171"/>
      <c r="U58" s="171"/>
      <c r="V58" s="171"/>
      <c r="W58" s="171"/>
      <c r="X58" s="171"/>
      <c r="Y58" s="171"/>
    </row>
    <row r="59" spans="1:25" x14ac:dyDescent="0.3"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</row>
    <row r="60" spans="1:25" x14ac:dyDescent="0.3"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</row>
    <row r="61" spans="1:25" collapsed="1" x14ac:dyDescent="0.3"/>
    <row r="62" spans="1:25" s="176" customFormat="1" ht="28.5" hidden="1" customHeight="1" outlineLevel="1" x14ac:dyDescent="0.3">
      <c r="A62" s="99" t="s">
        <v>147</v>
      </c>
      <c r="B62" s="174"/>
      <c r="C62" s="174"/>
      <c r="D62" s="174"/>
      <c r="E62" s="174"/>
      <c r="F62" s="174"/>
      <c r="G62" s="174"/>
      <c r="H62" s="174"/>
      <c r="I62" s="175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2"/>
    </row>
    <row r="63" spans="1:25" s="102" customFormat="1" ht="13" hidden="1" customHeight="1" outlineLevel="1" x14ac:dyDescent="0.35">
      <c r="A63" s="170"/>
      <c r="I63" s="173"/>
    </row>
    <row r="64" spans="1:25" ht="28.5" hidden="1" outlineLevel="1" x14ac:dyDescent="0.35">
      <c r="A64" s="162"/>
      <c r="B64" s="283" t="s">
        <v>144</v>
      </c>
      <c r="F64" s="14"/>
      <c r="G64" s="103"/>
      <c r="H64" s="103"/>
      <c r="I64" s="164" t="s">
        <v>82</v>
      </c>
      <c r="J64" s="103"/>
      <c r="K64" s="103"/>
      <c r="L64" s="103"/>
      <c r="M64" s="164" t="s">
        <v>83</v>
      </c>
      <c r="N64" s="224"/>
      <c r="O64" s="103"/>
      <c r="P64" s="103"/>
      <c r="Q64" s="164" t="s">
        <v>84</v>
      </c>
      <c r="R64" s="224"/>
      <c r="S64" s="9"/>
      <c r="U64" s="164" t="s">
        <v>86</v>
      </c>
    </row>
    <row r="65" spans="1:24" ht="17.5" hidden="1" outlineLevel="1" x14ac:dyDescent="0.35">
      <c r="A65" s="162"/>
      <c r="F65" s="14">
        <v>4</v>
      </c>
      <c r="G65" s="103"/>
      <c r="H65" s="103"/>
      <c r="I65" s="103"/>
      <c r="J65" s="103"/>
      <c r="K65" s="103"/>
      <c r="L65" s="103"/>
      <c r="M65" s="255"/>
      <c r="N65" s="224"/>
      <c r="O65" s="103"/>
      <c r="P65" s="103"/>
      <c r="Q65" s="255"/>
      <c r="R65" s="224"/>
      <c r="S65" s="9"/>
    </row>
    <row r="66" spans="1:24" ht="14.5" hidden="1" outlineLevel="1" thickBot="1" x14ac:dyDescent="0.35">
      <c r="B66" s="104"/>
      <c r="C66" s="105" t="s">
        <v>79</v>
      </c>
      <c r="F66" s="254" t="s">
        <v>116</v>
      </c>
      <c r="H66" s="104"/>
      <c r="I66" s="103"/>
      <c r="J66" s="254" t="s">
        <v>116</v>
      </c>
      <c r="K66" s="103"/>
      <c r="L66" s="103"/>
      <c r="M66" s="103"/>
      <c r="N66" s="254" t="s">
        <v>116</v>
      </c>
      <c r="O66" s="103"/>
      <c r="P66" s="103"/>
      <c r="Q66" s="103"/>
      <c r="R66" s="254" t="s">
        <v>116</v>
      </c>
      <c r="S66" s="9"/>
      <c r="T66" s="9"/>
      <c r="U66" s="9"/>
    </row>
    <row r="67" spans="1:24" ht="16" hidden="1" outlineLevel="1" thickBot="1" x14ac:dyDescent="0.4">
      <c r="B67" s="3" t="s">
        <v>149</v>
      </c>
      <c r="C67" s="81">
        <v>1</v>
      </c>
      <c r="D67" s="14">
        <v>2</v>
      </c>
      <c r="E67" s="14">
        <v>3</v>
      </c>
      <c r="F67" s="193">
        <f>'DD Energie 2024'!F67</f>
        <v>3.98</v>
      </c>
      <c r="G67" s="106">
        <v>5</v>
      </c>
      <c r="H67" s="106">
        <v>6</v>
      </c>
      <c r="I67" s="106">
        <v>7</v>
      </c>
      <c r="J67" s="193">
        <f>'DD Energie 2024'!J67</f>
        <v>3.98</v>
      </c>
      <c r="K67" s="103"/>
      <c r="L67" s="14">
        <v>8</v>
      </c>
      <c r="M67" s="103"/>
      <c r="N67" s="193">
        <f>'DD Energie 2025'!N67</f>
        <v>4.13</v>
      </c>
      <c r="O67" s="103"/>
      <c r="P67" s="103"/>
      <c r="Q67" s="103"/>
      <c r="R67" s="193">
        <f>'DD Energie 2026'!R67</f>
        <v>3.5</v>
      </c>
      <c r="S67" s="9"/>
      <c r="T67" s="9"/>
      <c r="U67" s="9"/>
      <c r="V67" s="14"/>
      <c r="W67" s="104"/>
    </row>
    <row r="68" spans="1:24" ht="25.5" hidden="1" outlineLevel="1" x14ac:dyDescent="0.3">
      <c r="B68" s="460"/>
      <c r="C68" s="107" t="s">
        <v>45</v>
      </c>
      <c r="D68" s="108" t="s">
        <v>46</v>
      </c>
      <c r="E68" s="107" t="s">
        <v>47</v>
      </c>
      <c r="F68" s="107" t="s">
        <v>48</v>
      </c>
      <c r="G68" s="107" t="s">
        <v>47</v>
      </c>
      <c r="H68" s="109" t="s">
        <v>49</v>
      </c>
      <c r="I68" s="202" t="s">
        <v>50</v>
      </c>
      <c r="J68" s="199" t="s">
        <v>48</v>
      </c>
      <c r="K68" s="111" t="s">
        <v>47</v>
      </c>
      <c r="L68" s="109" t="s">
        <v>51</v>
      </c>
      <c r="M68" s="207" t="s">
        <v>52</v>
      </c>
      <c r="N68" s="199" t="s">
        <v>48</v>
      </c>
      <c r="O68" s="111" t="s">
        <v>47</v>
      </c>
      <c r="P68" s="112" t="s">
        <v>51</v>
      </c>
      <c r="Q68" s="207" t="s">
        <v>52</v>
      </c>
      <c r="R68" s="199" t="s">
        <v>48</v>
      </c>
      <c r="S68" s="111" t="s">
        <v>47</v>
      </c>
      <c r="T68" s="150" t="s">
        <v>51</v>
      </c>
      <c r="U68" s="156" t="s">
        <v>154</v>
      </c>
      <c r="V68" s="113"/>
      <c r="X68" s="187"/>
    </row>
    <row r="69" spans="1:24" ht="25.5" hidden="1" outlineLevel="1" x14ac:dyDescent="0.3">
      <c r="A69" s="114"/>
      <c r="B69" s="461"/>
      <c r="C69" s="115" t="s">
        <v>80</v>
      </c>
      <c r="D69" s="198" t="s">
        <v>54</v>
      </c>
      <c r="E69" s="117"/>
      <c r="F69" s="118" t="s">
        <v>55</v>
      </c>
      <c r="G69" s="118" t="s">
        <v>56</v>
      </c>
      <c r="H69" s="197" t="s">
        <v>94</v>
      </c>
      <c r="I69" s="203" t="s">
        <v>57</v>
      </c>
      <c r="J69" s="200" t="s">
        <v>55</v>
      </c>
      <c r="K69" s="120" t="s">
        <v>58</v>
      </c>
      <c r="L69" s="119" t="s">
        <v>95</v>
      </c>
      <c r="M69" s="208" t="s">
        <v>57</v>
      </c>
      <c r="N69" s="200" t="s">
        <v>55</v>
      </c>
      <c r="O69" s="120" t="s">
        <v>59</v>
      </c>
      <c r="P69" s="121" t="s">
        <v>96</v>
      </c>
      <c r="Q69" s="208" t="s">
        <v>57</v>
      </c>
      <c r="R69" s="200" t="s">
        <v>55</v>
      </c>
      <c r="S69" s="120" t="s">
        <v>60</v>
      </c>
      <c r="T69" s="152" t="s">
        <v>97</v>
      </c>
      <c r="U69" s="157" t="s">
        <v>53</v>
      </c>
      <c r="V69" s="122"/>
    </row>
    <row r="70" spans="1:24" ht="14.5" hidden="1" outlineLevel="1" thickBot="1" x14ac:dyDescent="0.35">
      <c r="B70" s="461"/>
      <c r="C70" s="117" t="s">
        <v>38</v>
      </c>
      <c r="D70" s="116" t="s">
        <v>38</v>
      </c>
      <c r="E70" s="117" t="s">
        <v>38</v>
      </c>
      <c r="F70" s="117" t="s">
        <v>38</v>
      </c>
      <c r="G70" s="117" t="s">
        <v>38</v>
      </c>
      <c r="H70" s="119" t="s">
        <v>38</v>
      </c>
      <c r="I70" s="204" t="s">
        <v>38</v>
      </c>
      <c r="J70" s="201" t="s">
        <v>38</v>
      </c>
      <c r="K70" s="124" t="s">
        <v>38</v>
      </c>
      <c r="L70" s="119" t="s">
        <v>38</v>
      </c>
      <c r="M70" s="209" t="s">
        <v>38</v>
      </c>
      <c r="N70" s="206" t="s">
        <v>38</v>
      </c>
      <c r="O70" s="124" t="s">
        <v>38</v>
      </c>
      <c r="P70" s="121" t="s">
        <v>38</v>
      </c>
      <c r="Q70" s="209" t="s">
        <v>38</v>
      </c>
      <c r="R70" s="201" t="s">
        <v>38</v>
      </c>
      <c r="S70" s="124" t="s">
        <v>38</v>
      </c>
      <c r="T70" s="152" t="s">
        <v>38</v>
      </c>
      <c r="U70" s="158" t="s">
        <v>38</v>
      </c>
      <c r="V70" s="125" t="s">
        <v>14</v>
      </c>
    </row>
    <row r="71" spans="1:24" s="103" customFormat="1" ht="28" hidden="1" customHeight="1" outlineLevel="1" thickBot="1" x14ac:dyDescent="0.35">
      <c r="B71" s="126" t="s">
        <v>119</v>
      </c>
      <c r="C71" s="195">
        <f>'DD Energie 2024'!C71</f>
        <v>6000</v>
      </c>
      <c r="D71" s="195">
        <f>'DD Energie 2024'!D71</f>
        <v>-1000</v>
      </c>
      <c r="E71" s="195">
        <f>'DD Energie 2024'!E71</f>
        <v>5000</v>
      </c>
      <c r="F71" s="195">
        <f>'DD Energie 2024'!F71</f>
        <v>199</v>
      </c>
      <c r="G71" s="195">
        <f>'DD Energie 2024'!G71</f>
        <v>5199</v>
      </c>
      <c r="H71" s="195">
        <f>'DD Energie 2024'!H71</f>
        <v>-2000</v>
      </c>
      <c r="I71" s="205">
        <f>'DD Energie 2024'!I71</f>
        <v>3199</v>
      </c>
      <c r="J71" s="169">
        <f>'DD Energie 2024'!J71</f>
        <v>127.3202</v>
      </c>
      <c r="K71" s="147">
        <f>'DD Energie 2024'!K71</f>
        <v>3326.3202000000001</v>
      </c>
      <c r="L71" s="147">
        <f>'DD Energie 2024'!L71</f>
        <v>-1159</v>
      </c>
      <c r="M71" s="205">
        <f>'DD Energie 2024'!M71</f>
        <v>2167.3202000000001</v>
      </c>
      <c r="N71" s="169">
        <f>'DD Energie 2025'!N71</f>
        <v>89.51032425999999</v>
      </c>
      <c r="O71" s="147">
        <f>'DD Energie 2025'!O71</f>
        <v>2256.8305242599999</v>
      </c>
      <c r="P71" s="147">
        <f>'DD Energie 2025'!P71</f>
        <v>-1126.7897719800001</v>
      </c>
      <c r="Q71" s="210">
        <f>'DD Energie 2025'!Q71</f>
        <v>1130.0407522799999</v>
      </c>
      <c r="R71" s="169">
        <f>'DD Energie 2026'!R71</f>
        <v>39.551426329800002</v>
      </c>
      <c r="S71" s="147">
        <f>'DD Energie 2026'!S71</f>
        <v>1169.5921786097999</v>
      </c>
      <c r="T71" s="196">
        <f>'DD Energie 2026'!T71</f>
        <v>-1176.7114353491638</v>
      </c>
      <c r="U71" s="281">
        <f>'DD Energie 2027'!U71</f>
        <v>0</v>
      </c>
      <c r="V71" s="154"/>
    </row>
    <row r="72" spans="1:24" hidden="1" outlineLevel="1" x14ac:dyDescent="0.3">
      <c r="B72" s="188" t="s">
        <v>91</v>
      </c>
      <c r="D72" s="151"/>
      <c r="E72" s="31"/>
      <c r="F72" s="31"/>
      <c r="J72" s="31"/>
      <c r="K72" s="172"/>
      <c r="L72" s="172"/>
      <c r="P72" s="192">
        <f>'DD Energie 2025'!P72</f>
        <v>0</v>
      </c>
      <c r="Q72" s="167"/>
      <c r="T72" s="192">
        <f>'DD Energie 2026'!T72</f>
        <v>0</v>
      </c>
      <c r="U72" s="104"/>
    </row>
    <row r="73" spans="1:24" ht="24" hidden="1" customHeight="1" outlineLevel="1" x14ac:dyDescent="0.3">
      <c r="B73" s="132"/>
      <c r="C73" s="130"/>
      <c r="D73" s="49"/>
      <c r="E73" s="49"/>
      <c r="F73" s="49"/>
      <c r="G73" s="49"/>
      <c r="H73" s="49"/>
      <c r="I73" s="49"/>
      <c r="J73" s="31"/>
      <c r="K73" s="151"/>
      <c r="L73" s="181"/>
      <c r="M73" s="166"/>
      <c r="N73" s="1"/>
      <c r="O73" s="1"/>
      <c r="P73" s="186" t="s">
        <v>93</v>
      </c>
      <c r="S73" s="1"/>
      <c r="T73" s="186" t="s">
        <v>93</v>
      </c>
      <c r="U73" s="133"/>
    </row>
    <row r="74" spans="1:24" hidden="1" outlineLevel="1" x14ac:dyDescent="0.3">
      <c r="B74" s="132"/>
      <c r="C74" s="134"/>
      <c r="D74" s="49"/>
      <c r="E74" s="49"/>
      <c r="F74" s="49"/>
      <c r="G74" s="49"/>
      <c r="I74" s="49"/>
      <c r="J74" s="31"/>
      <c r="K74" s="31"/>
      <c r="L74" s="31"/>
      <c r="N74" s="1"/>
      <c r="O74" s="1"/>
      <c r="S74" s="1"/>
      <c r="U74" s="133"/>
    </row>
    <row r="75" spans="1:24" s="102" customFormat="1" ht="28.5" customHeight="1" x14ac:dyDescent="0.35">
      <c r="A75" s="99" t="s">
        <v>148</v>
      </c>
      <c r="B75" s="100"/>
      <c r="C75" s="100"/>
      <c r="D75" s="100"/>
      <c r="E75" s="100"/>
      <c r="F75" s="100"/>
      <c r="G75" s="100"/>
      <c r="H75" s="101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4" s="102" customFormat="1" ht="14.9" customHeight="1" outlineLevel="1" x14ac:dyDescent="0.35">
      <c r="A76" s="177"/>
      <c r="G76" s="173"/>
    </row>
    <row r="77" spans="1:24" s="102" customFormat="1" ht="28.5" customHeight="1" outlineLevel="1" x14ac:dyDescent="0.3">
      <c r="A77" s="170"/>
      <c r="B77" s="283" t="s">
        <v>144</v>
      </c>
      <c r="D77" s="465"/>
      <c r="E77" s="164" t="s">
        <v>85</v>
      </c>
      <c r="I77" s="164" t="s">
        <v>84</v>
      </c>
      <c r="M77" s="164" t="s">
        <v>86</v>
      </c>
      <c r="Q77" s="164" t="s">
        <v>87</v>
      </c>
    </row>
    <row r="78" spans="1:24" s="84" customFormat="1" ht="15" customHeight="1" outlineLevel="1" x14ac:dyDescent="0.3">
      <c r="B78" s="90"/>
      <c r="C78" s="90"/>
      <c r="D78" s="465"/>
      <c r="E78" s="135"/>
      <c r="F78" s="224"/>
      <c r="G78" s="95"/>
      <c r="H78" s="183"/>
      <c r="I78" s="95"/>
      <c r="J78" s="224"/>
      <c r="K78" s="95"/>
      <c r="N78" s="224"/>
    </row>
    <row r="79" spans="1:24" ht="14.5" outlineLevel="1" thickBot="1" x14ac:dyDescent="0.35">
      <c r="B79" s="31"/>
      <c r="C79" s="180"/>
      <c r="D79" s="254" t="s">
        <v>116</v>
      </c>
      <c r="E79" s="31"/>
      <c r="F79" s="254" t="s">
        <v>116</v>
      </c>
      <c r="G79" s="31"/>
      <c r="H79" s="151"/>
      <c r="I79" s="31"/>
      <c r="J79" s="254" t="s">
        <v>116</v>
      </c>
      <c r="N79" s="254" t="s">
        <v>116</v>
      </c>
    </row>
    <row r="80" spans="1:24" ht="16" outlineLevel="1" thickBot="1" x14ac:dyDescent="0.4">
      <c r="A80" s="136"/>
      <c r="B80" s="3" t="s">
        <v>66</v>
      </c>
      <c r="C80" s="14"/>
      <c r="D80" s="193">
        <f>'DD Energie 2024'!$D$81</f>
        <v>2.25</v>
      </c>
      <c r="E80" s="14"/>
      <c r="F80" s="193">
        <f>'DD Energie 2025'!F81</f>
        <v>2.25</v>
      </c>
      <c r="G80" s="31"/>
      <c r="H80" s="184"/>
      <c r="I80" s="14"/>
      <c r="J80" s="193">
        <f>'DD Energie 2026'!$J$81</f>
        <v>2.25</v>
      </c>
      <c r="K80" s="137"/>
      <c r="L80" s="137"/>
      <c r="M80" s="137"/>
      <c r="N80" s="193">
        <f>'DD Energie 2027'!N80</f>
        <v>2.65</v>
      </c>
      <c r="O80" s="14"/>
      <c r="P80" s="14"/>
      <c r="Q80" s="14"/>
      <c r="R80" s="14"/>
    </row>
    <row r="81" spans="1:19" s="103" customFormat="1" ht="28.4" customHeight="1" outlineLevel="1" x14ac:dyDescent="0.3">
      <c r="A81" s="136"/>
      <c r="B81" s="460"/>
      <c r="C81" s="138" t="s">
        <v>46</v>
      </c>
      <c r="D81" s="111" t="s">
        <v>48</v>
      </c>
      <c r="E81" s="245" t="s">
        <v>106</v>
      </c>
      <c r="F81" s="110" t="s">
        <v>48</v>
      </c>
      <c r="G81" s="111" t="s">
        <v>106</v>
      </c>
      <c r="H81" s="112" t="s">
        <v>51</v>
      </c>
      <c r="I81" s="207" t="s">
        <v>61</v>
      </c>
      <c r="J81" s="110" t="s">
        <v>48</v>
      </c>
      <c r="K81" s="111" t="s">
        <v>106</v>
      </c>
      <c r="L81" s="112" t="s">
        <v>51</v>
      </c>
      <c r="M81" s="207" t="s">
        <v>52</v>
      </c>
      <c r="N81" s="110" t="s">
        <v>48</v>
      </c>
      <c r="O81" s="111" t="s">
        <v>106</v>
      </c>
      <c r="P81" s="150" t="s">
        <v>51</v>
      </c>
      <c r="Q81" s="156" t="s">
        <v>154</v>
      </c>
      <c r="R81" s="113"/>
    </row>
    <row r="82" spans="1:19" s="103" customFormat="1" ht="14.25" customHeight="1" outlineLevel="1" x14ac:dyDescent="0.3">
      <c r="A82" s="136"/>
      <c r="B82" s="461"/>
      <c r="C82" s="139" t="s">
        <v>109</v>
      </c>
      <c r="D82" s="124" t="s">
        <v>55</v>
      </c>
      <c r="E82" s="211" t="s">
        <v>58</v>
      </c>
      <c r="F82" s="123" t="s">
        <v>55</v>
      </c>
      <c r="G82" s="124" t="s">
        <v>59</v>
      </c>
      <c r="H82" s="121" t="str">
        <f>"Tarife "&amp; C8-3</f>
        <v>Tarife 2026</v>
      </c>
      <c r="I82" s="213" t="s">
        <v>57</v>
      </c>
      <c r="J82" s="123" t="s">
        <v>55</v>
      </c>
      <c r="K82" s="124" t="s">
        <v>60</v>
      </c>
      <c r="L82" s="121" t="str">
        <f>"Tarife "&amp; C8-2</f>
        <v>Tarife 2027</v>
      </c>
      <c r="M82" s="213" t="s">
        <v>57</v>
      </c>
      <c r="N82" s="123" t="s">
        <v>55</v>
      </c>
      <c r="O82" s="124" t="s">
        <v>62</v>
      </c>
      <c r="P82" s="152" t="str">
        <f>"Tarife "&amp; C8-1</f>
        <v>Tarife 2028</v>
      </c>
      <c r="Q82" s="157" t="s">
        <v>53</v>
      </c>
      <c r="R82" s="122"/>
    </row>
    <row r="83" spans="1:19" s="103" customFormat="1" ht="14.25" customHeight="1" outlineLevel="1" x14ac:dyDescent="0.3">
      <c r="A83" s="136"/>
      <c r="B83" s="461"/>
      <c r="C83" s="139"/>
      <c r="D83" s="124"/>
      <c r="E83" s="211"/>
      <c r="F83" s="123"/>
      <c r="G83" s="124"/>
      <c r="H83" s="121" t="s">
        <v>63</v>
      </c>
      <c r="I83" s="213"/>
      <c r="J83" s="123"/>
      <c r="K83" s="124"/>
      <c r="L83" s="121" t="s">
        <v>64</v>
      </c>
      <c r="M83" s="213"/>
      <c r="N83" s="123"/>
      <c r="O83" s="124"/>
      <c r="P83" s="152" t="s">
        <v>65</v>
      </c>
      <c r="Q83" s="158"/>
      <c r="R83" s="122"/>
    </row>
    <row r="84" spans="1:19" s="103" customFormat="1" ht="14.25" customHeight="1" outlineLevel="1" thickBot="1" x14ac:dyDescent="0.35">
      <c r="A84" s="136"/>
      <c r="B84" s="461"/>
      <c r="C84" s="139" t="s">
        <v>38</v>
      </c>
      <c r="D84" s="124" t="s">
        <v>38</v>
      </c>
      <c r="E84" s="211" t="s">
        <v>38</v>
      </c>
      <c r="F84" s="123" t="s">
        <v>38</v>
      </c>
      <c r="G84" s="124" t="s">
        <v>38</v>
      </c>
      <c r="H84" s="121" t="s">
        <v>38</v>
      </c>
      <c r="I84" s="213" t="s">
        <v>38</v>
      </c>
      <c r="J84" s="123" t="s">
        <v>38</v>
      </c>
      <c r="K84" s="124" t="s">
        <v>38</v>
      </c>
      <c r="L84" s="121" t="s">
        <v>38</v>
      </c>
      <c r="M84" s="213" t="s">
        <v>38</v>
      </c>
      <c r="N84" s="123" t="s">
        <v>38</v>
      </c>
      <c r="O84" s="124" t="s">
        <v>38</v>
      </c>
      <c r="P84" s="152" t="s">
        <v>38</v>
      </c>
      <c r="Q84" s="158" t="s">
        <v>38</v>
      </c>
      <c r="R84" s="125" t="s">
        <v>14</v>
      </c>
    </row>
    <row r="85" spans="1:19" s="171" customFormat="1" ht="28" customHeight="1" outlineLevel="1" thickBot="1" x14ac:dyDescent="0.35">
      <c r="A85" s="103"/>
      <c r="B85" s="182" t="str">
        <f>"Übersicht DD 2024 bis Abbau Null "</f>
        <v xml:space="preserve">Übersicht DD 2024 bis Abbau Null </v>
      </c>
      <c r="C85" s="189">
        <f>'DD Energie 2024'!C86</f>
        <v>-36000</v>
      </c>
      <c r="D85" s="189">
        <f>'DD Energie 2024'!D86</f>
        <v>-810</v>
      </c>
      <c r="E85" s="212">
        <f>'DD Energie 2024'!E86</f>
        <v>-36810</v>
      </c>
      <c r="F85" s="169">
        <f>'DD Energie 2025'!F86</f>
        <v>-828.22500000000002</v>
      </c>
      <c r="G85" s="147">
        <f>'DD Energie 2025'!G86</f>
        <v>-37638.224999999999</v>
      </c>
      <c r="H85" s="191">
        <f>'DD Energie 2025'!H86</f>
        <v>9420.0283541666668</v>
      </c>
      <c r="I85" s="210">
        <f>'DD Energie 2025'!I86</f>
        <v>-18218.196645833334</v>
      </c>
      <c r="J85" s="169">
        <f>'DD Energie 2026'!J86</f>
        <v>-409.90942453125001</v>
      </c>
      <c r="K85" s="147">
        <f>'DD Energie 2026'!K86</f>
        <v>-18628.106070364585</v>
      </c>
      <c r="L85" s="191">
        <f>'DD Energie 2026'!L86</f>
        <v>9314.0530351822927</v>
      </c>
      <c r="M85" s="205">
        <f>'DD Energie 2026'!M86</f>
        <v>-9314.0530351822927</v>
      </c>
      <c r="N85" s="169">
        <f>'DD Energie 2027'!N85</f>
        <v>-246.82240543233075</v>
      </c>
      <c r="O85" s="147">
        <f>'DD Energie 2027'!O85</f>
        <v>-9560.8754406146236</v>
      </c>
      <c r="P85" s="147">
        <f>'DD Energie 2027'!P85</f>
        <v>9523.6192284738936</v>
      </c>
      <c r="Q85" s="281">
        <f>'DD Energie 2028'!Q85</f>
        <v>0</v>
      </c>
      <c r="R85" s="154"/>
    </row>
    <row r="86" spans="1:19" outlineLevel="1" x14ac:dyDescent="0.3">
      <c r="B86" s="188" t="s">
        <v>91</v>
      </c>
      <c r="C86" s="151"/>
      <c r="D86" s="31"/>
      <c r="F86" s="31"/>
      <c r="G86" s="31"/>
      <c r="H86" s="306">
        <f>'DD Energie 2025'!H87</f>
        <v>10000</v>
      </c>
      <c r="I86" s="151"/>
      <c r="L86" s="192">
        <f>'DD Energie 2026'!L87</f>
        <v>0</v>
      </c>
      <c r="P86" s="192">
        <f>'DD Energie 2027'!P86</f>
        <v>0</v>
      </c>
      <c r="Q86" s="104"/>
    </row>
    <row r="87" spans="1:19" ht="24.75" customHeight="1" outlineLevel="1" x14ac:dyDescent="0.3">
      <c r="H87" s="186" t="s">
        <v>93</v>
      </c>
      <c r="I87" s="185"/>
      <c r="L87" s="186" t="s">
        <v>93</v>
      </c>
      <c r="P87" s="186" t="s">
        <v>93</v>
      </c>
    </row>
    <row r="88" spans="1:19" outlineLevel="1" x14ac:dyDescent="0.3">
      <c r="H88" s="190"/>
      <c r="I88" s="185"/>
      <c r="L88" s="190"/>
      <c r="P88" s="190"/>
    </row>
    <row r="89" spans="1:19" outlineLevel="1" x14ac:dyDescent="0.3">
      <c r="H89" s="190"/>
      <c r="I89" s="185"/>
      <c r="L89" s="190"/>
      <c r="P89" s="190"/>
    </row>
    <row r="90" spans="1:19" ht="15" customHeight="1" x14ac:dyDescent="0.3">
      <c r="H90" s="131"/>
      <c r="L90" s="131"/>
      <c r="P90" s="131"/>
    </row>
    <row r="91" spans="1:19" s="19" customFormat="1" ht="33" customHeight="1" x14ac:dyDescent="0.3">
      <c r="A91" s="178"/>
      <c r="B91" s="283" t="s">
        <v>144</v>
      </c>
      <c r="C91" s="141"/>
      <c r="E91" s="164" t="s">
        <v>103</v>
      </c>
      <c r="F91" s="104"/>
      <c r="I91" s="164" t="s">
        <v>86</v>
      </c>
      <c r="M91" s="164" t="s">
        <v>87</v>
      </c>
      <c r="Q91" s="164" t="s">
        <v>88</v>
      </c>
    </row>
    <row r="92" spans="1:19" s="19" customFormat="1" ht="12.65" customHeight="1" x14ac:dyDescent="0.3">
      <c r="A92" s="2"/>
      <c r="C92" s="141"/>
      <c r="F92" s="194"/>
      <c r="J92" s="194"/>
      <c r="N92" s="194"/>
    </row>
    <row r="93" spans="1:19" ht="14.5" thickBot="1" x14ac:dyDescent="0.35">
      <c r="B93" s="31"/>
      <c r="C93" s="180"/>
      <c r="D93" s="254" t="s">
        <v>116</v>
      </c>
      <c r="E93" s="31"/>
      <c r="F93" s="254" t="s">
        <v>116</v>
      </c>
      <c r="G93" s="31"/>
      <c r="H93" s="151"/>
      <c r="I93" s="31"/>
      <c r="J93" s="254" t="s">
        <v>116</v>
      </c>
      <c r="N93" s="254" t="s">
        <v>116</v>
      </c>
    </row>
    <row r="94" spans="1:19" s="19" customFormat="1" ht="16" thickBot="1" x14ac:dyDescent="0.4">
      <c r="A94" s="18"/>
      <c r="B94" s="3" t="s">
        <v>68</v>
      </c>
      <c r="C94" s="14"/>
      <c r="D94" s="193">
        <f>'DD Energie 2025'!D95</f>
        <v>2.25</v>
      </c>
      <c r="E94" s="14"/>
      <c r="F94" s="193">
        <f>'DD Energie 2026'!F95</f>
        <v>2.25</v>
      </c>
      <c r="G94" s="31"/>
      <c r="H94" s="184"/>
      <c r="I94" s="14"/>
      <c r="J94" s="193">
        <f>'DD Energie 2027'!J94</f>
        <v>2.65</v>
      </c>
      <c r="K94" s="137"/>
      <c r="L94" s="137"/>
      <c r="M94" s="137"/>
      <c r="N94" s="193">
        <f>'DD Energie 2028'!N94</f>
        <v>2.8</v>
      </c>
      <c r="O94" s="18"/>
      <c r="P94" s="18"/>
      <c r="Q94" s="18"/>
      <c r="R94" s="14"/>
      <c r="S94" s="18"/>
    </row>
    <row r="95" spans="1:19" ht="25.5" x14ac:dyDescent="0.3">
      <c r="B95" s="460"/>
      <c r="C95" s="138" t="s">
        <v>46</v>
      </c>
      <c r="D95" s="111" t="s">
        <v>48</v>
      </c>
      <c r="E95" s="245" t="s">
        <v>106</v>
      </c>
      <c r="F95" s="110" t="s">
        <v>48</v>
      </c>
      <c r="G95" s="111" t="s">
        <v>106</v>
      </c>
      <c r="H95" s="112" t="s">
        <v>51</v>
      </c>
      <c r="I95" s="207" t="s">
        <v>52</v>
      </c>
      <c r="J95" s="110" t="s">
        <v>48</v>
      </c>
      <c r="K95" s="111" t="s">
        <v>106</v>
      </c>
      <c r="L95" s="112" t="s">
        <v>51</v>
      </c>
      <c r="M95" s="207" t="s">
        <v>52</v>
      </c>
      <c r="N95" s="110" t="s">
        <v>48</v>
      </c>
      <c r="O95" s="111" t="s">
        <v>106</v>
      </c>
      <c r="P95" s="150" t="s">
        <v>51</v>
      </c>
      <c r="Q95" s="156" t="s">
        <v>154</v>
      </c>
      <c r="R95" s="113"/>
    </row>
    <row r="96" spans="1:19" x14ac:dyDescent="0.3">
      <c r="B96" s="461"/>
      <c r="C96" s="139" t="s">
        <v>108</v>
      </c>
      <c r="D96" s="124" t="s">
        <v>55</v>
      </c>
      <c r="E96" s="211" t="s">
        <v>59</v>
      </c>
      <c r="F96" s="123" t="s">
        <v>55</v>
      </c>
      <c r="G96" s="124" t="s">
        <v>60</v>
      </c>
      <c r="H96" s="121" t="str">
        <f>"Tarife "&amp; C8-2</f>
        <v>Tarife 2027</v>
      </c>
      <c r="I96" s="213" t="s">
        <v>57</v>
      </c>
      <c r="J96" s="123" t="s">
        <v>55</v>
      </c>
      <c r="K96" s="124" t="s">
        <v>62</v>
      </c>
      <c r="L96" s="121" t="str">
        <f>"Tarife "&amp; C8-1</f>
        <v>Tarife 2028</v>
      </c>
      <c r="M96" s="213" t="s">
        <v>57</v>
      </c>
      <c r="N96" s="123" t="s">
        <v>55</v>
      </c>
      <c r="O96" s="124" t="s">
        <v>67</v>
      </c>
      <c r="P96" s="152" t="str">
        <f>"Tarife "&amp; C8</f>
        <v>Tarife 2029</v>
      </c>
      <c r="Q96" s="157" t="s">
        <v>53</v>
      </c>
      <c r="R96" s="122"/>
    </row>
    <row r="97" spans="1:18" x14ac:dyDescent="0.3">
      <c r="B97" s="461"/>
      <c r="C97" s="139"/>
      <c r="D97" s="124"/>
      <c r="E97" s="211"/>
      <c r="F97" s="123"/>
      <c r="G97" s="124"/>
      <c r="H97" s="121" t="s">
        <v>63</v>
      </c>
      <c r="I97" s="213"/>
      <c r="J97" s="123"/>
      <c r="K97" s="124"/>
      <c r="L97" s="121" t="s">
        <v>64</v>
      </c>
      <c r="M97" s="213"/>
      <c r="N97" s="123"/>
      <c r="O97" s="124"/>
      <c r="P97" s="152" t="s">
        <v>65</v>
      </c>
      <c r="Q97" s="158"/>
      <c r="R97" s="122"/>
    </row>
    <row r="98" spans="1:18" ht="14.5" thickBot="1" x14ac:dyDescent="0.35">
      <c r="B98" s="461"/>
      <c r="C98" s="139" t="s">
        <v>38</v>
      </c>
      <c r="D98" s="124" t="s">
        <v>38</v>
      </c>
      <c r="E98" s="211" t="s">
        <v>38</v>
      </c>
      <c r="F98" s="123" t="s">
        <v>38</v>
      </c>
      <c r="G98" s="124" t="s">
        <v>38</v>
      </c>
      <c r="H98" s="121" t="s">
        <v>38</v>
      </c>
      <c r="I98" s="213" t="s">
        <v>38</v>
      </c>
      <c r="J98" s="123" t="s">
        <v>38</v>
      </c>
      <c r="K98" s="124" t="s">
        <v>38</v>
      </c>
      <c r="L98" s="121" t="s">
        <v>38</v>
      </c>
      <c r="M98" s="213" t="s">
        <v>38</v>
      </c>
      <c r="N98" s="123" t="s">
        <v>38</v>
      </c>
      <c r="O98" s="124" t="s">
        <v>38</v>
      </c>
      <c r="P98" s="152" t="s">
        <v>38</v>
      </c>
      <c r="Q98" s="158" t="s">
        <v>38</v>
      </c>
      <c r="R98" s="125" t="s">
        <v>14</v>
      </c>
    </row>
    <row r="99" spans="1:18" s="171" customFormat="1" ht="28" customHeight="1" thickBot="1" x14ac:dyDescent="0.35">
      <c r="A99" s="103"/>
      <c r="B99" s="182" t="str">
        <f>"Übersicht DD 2025 bis Abbau Null "</f>
        <v xml:space="preserve">Übersicht DD 2025 bis Abbau Null </v>
      </c>
      <c r="C99" s="189">
        <f>'DD Energie 2025'!C100</f>
        <v>100001</v>
      </c>
      <c r="D99" s="189">
        <f>'DD Energie 2025'!D100</f>
        <v>2250.0225</v>
      </c>
      <c r="E99" s="212">
        <f>'DD Energie 2025'!E100</f>
        <v>102251.02250000001</v>
      </c>
      <c r="F99" s="169">
        <f>'DD Energie 2026'!F100</f>
        <v>2300.64800625</v>
      </c>
      <c r="G99" s="147">
        <f>'DD Energie 2026'!G100</f>
        <v>104551.67050625001</v>
      </c>
      <c r="H99" s="147">
        <f>'DD Energie 2026'!H100</f>
        <v>-35634.694364213545</v>
      </c>
      <c r="I99" s="210">
        <f>'DD Energie 2026'!I100</f>
        <v>68916.976142036467</v>
      </c>
      <c r="J99" s="169">
        <f>'DD Energie 2027'!J99</f>
        <v>1826.2998677639664</v>
      </c>
      <c r="K99" s="147">
        <f>'DD Energie 2027'!K99</f>
        <v>70743.276009800436</v>
      </c>
      <c r="L99" s="147">
        <f>'DD Energie 2027'!L99</f>
        <v>-35233.804052616142</v>
      </c>
      <c r="M99" s="205">
        <f>'DD Energie 2027'!M99</f>
        <v>35509.471957184294</v>
      </c>
      <c r="N99" s="169">
        <f>'DD Energie 2028'!N99</f>
        <v>994.26521480116014</v>
      </c>
      <c r="O99" s="147">
        <f>'DD Energie 2028'!O99</f>
        <v>36503.737171985456</v>
      </c>
      <c r="P99" s="196">
        <f>'DD Energie 2028'!P99</f>
        <v>-36450.472964049681</v>
      </c>
      <c r="Q99" s="281">
        <f>'DD Energie 2028'!Q99+'DD Energie 2028'!G158</f>
        <v>0</v>
      </c>
      <c r="R99" s="214"/>
    </row>
    <row r="100" spans="1:18" x14ac:dyDescent="0.3">
      <c r="B100" s="188" t="s">
        <v>91</v>
      </c>
      <c r="C100" s="31"/>
      <c r="D100" s="31"/>
      <c r="F100" s="31"/>
      <c r="G100" s="31"/>
      <c r="H100" s="192">
        <f>'DD Energie 2026'!H101</f>
        <v>0</v>
      </c>
      <c r="L100" s="192">
        <f>'DD Energie 2027'!L100</f>
        <v>0</v>
      </c>
      <c r="P100" s="192">
        <f>'DD Energie 2028'!P100</f>
        <v>0</v>
      </c>
      <c r="Q100" s="104"/>
    </row>
    <row r="101" spans="1:18" ht="24.75" customHeight="1" x14ac:dyDescent="0.3">
      <c r="F101" s="31"/>
      <c r="G101" s="31"/>
      <c r="H101" s="186" t="s">
        <v>93</v>
      </c>
      <c r="L101" s="186" t="s">
        <v>93</v>
      </c>
      <c r="P101" s="186" t="s">
        <v>93</v>
      </c>
    </row>
    <row r="102" spans="1:18" x14ac:dyDescent="0.3">
      <c r="F102" s="31"/>
      <c r="G102" s="31"/>
      <c r="H102" s="190"/>
      <c r="L102" s="190"/>
      <c r="P102" s="190"/>
    </row>
    <row r="103" spans="1:18" x14ac:dyDescent="0.3">
      <c r="F103" s="31"/>
      <c r="G103" s="31"/>
      <c r="H103" s="190"/>
      <c r="L103" s="190"/>
      <c r="P103" s="190"/>
    </row>
    <row r="104" spans="1:18" ht="14.5" x14ac:dyDescent="0.35">
      <c r="F104" s="31"/>
      <c r="G104" s="31"/>
      <c r="H104" s="142"/>
    </row>
    <row r="105" spans="1:18" ht="28" x14ac:dyDescent="0.3">
      <c r="B105" s="283" t="s">
        <v>144</v>
      </c>
      <c r="E105" s="164" t="s">
        <v>100</v>
      </c>
      <c r="I105" s="164" t="s">
        <v>87</v>
      </c>
      <c r="M105" s="164" t="s">
        <v>88</v>
      </c>
      <c r="Q105" s="164" t="s">
        <v>89</v>
      </c>
    </row>
    <row r="106" spans="1:18" ht="13" customHeight="1" x14ac:dyDescent="0.3">
      <c r="F106" s="194"/>
      <c r="J106" s="194"/>
      <c r="N106" s="251"/>
    </row>
    <row r="107" spans="1:18" ht="14.5" thickBot="1" x14ac:dyDescent="0.35">
      <c r="B107" s="31"/>
      <c r="C107" s="180"/>
      <c r="D107" s="254" t="s">
        <v>116</v>
      </c>
      <c r="E107" s="31"/>
      <c r="F107" s="254" t="s">
        <v>116</v>
      </c>
      <c r="G107" s="31"/>
      <c r="H107" s="151"/>
      <c r="I107" s="31"/>
      <c r="J107" s="254" t="s">
        <v>116</v>
      </c>
      <c r="N107" s="254" t="s">
        <v>116</v>
      </c>
    </row>
    <row r="108" spans="1:18" ht="16" thickBot="1" x14ac:dyDescent="0.4">
      <c r="B108" s="3" t="s">
        <v>70</v>
      </c>
      <c r="C108" s="14"/>
      <c r="D108" s="193">
        <f>'DD Energie 2026'!D109</f>
        <v>2.25</v>
      </c>
      <c r="E108" s="14"/>
      <c r="F108" s="193">
        <f>'DD Energie 2027'!F108</f>
        <v>2.65</v>
      </c>
      <c r="G108" s="31"/>
      <c r="H108" s="184"/>
      <c r="I108" s="14"/>
      <c r="J108" s="193">
        <f>'DD Energie 2028'!J108</f>
        <v>2.8</v>
      </c>
      <c r="K108" s="137"/>
      <c r="L108" s="137"/>
      <c r="M108" s="137"/>
      <c r="N108" s="96">
        <f>D55</f>
        <v>2.65</v>
      </c>
    </row>
    <row r="109" spans="1:18" ht="25.5" x14ac:dyDescent="0.3">
      <c r="B109" s="460"/>
      <c r="C109" s="138" t="s">
        <v>46</v>
      </c>
      <c r="D109" s="111" t="s">
        <v>48</v>
      </c>
      <c r="E109" s="245" t="s">
        <v>106</v>
      </c>
      <c r="F109" s="110" t="s">
        <v>48</v>
      </c>
      <c r="G109" s="111" t="s">
        <v>106</v>
      </c>
      <c r="H109" s="112" t="s">
        <v>51</v>
      </c>
      <c r="I109" s="207" t="s">
        <v>52</v>
      </c>
      <c r="J109" s="110" t="s">
        <v>48</v>
      </c>
      <c r="K109" s="111" t="s">
        <v>106</v>
      </c>
      <c r="L109" s="112" t="s">
        <v>51</v>
      </c>
      <c r="M109" s="207" t="s">
        <v>52</v>
      </c>
      <c r="N109" s="110" t="s">
        <v>48</v>
      </c>
      <c r="O109" s="111" t="s">
        <v>106</v>
      </c>
      <c r="P109" s="150" t="s">
        <v>51</v>
      </c>
      <c r="Q109" s="156" t="s">
        <v>154</v>
      </c>
      <c r="R109" s="113"/>
    </row>
    <row r="110" spans="1:18" x14ac:dyDescent="0.3">
      <c r="B110" s="461"/>
      <c r="C110" s="139" t="s">
        <v>110</v>
      </c>
      <c r="D110" s="124" t="s">
        <v>55</v>
      </c>
      <c r="E110" s="211" t="s">
        <v>60</v>
      </c>
      <c r="F110" s="123" t="s">
        <v>55</v>
      </c>
      <c r="G110" s="124" t="s">
        <v>62</v>
      </c>
      <c r="H110" s="121" t="str">
        <f>"Tarife "&amp; C8-1</f>
        <v>Tarife 2028</v>
      </c>
      <c r="I110" s="213" t="s">
        <v>57</v>
      </c>
      <c r="J110" s="123" t="s">
        <v>55</v>
      </c>
      <c r="K110" s="124" t="s">
        <v>67</v>
      </c>
      <c r="L110" s="121" t="str">
        <f>"Tarife "&amp; C8</f>
        <v>Tarife 2029</v>
      </c>
      <c r="M110" s="213" t="s">
        <v>57</v>
      </c>
      <c r="N110" s="123" t="s">
        <v>55</v>
      </c>
      <c r="O110" s="124" t="s">
        <v>69</v>
      </c>
      <c r="P110" s="152" t="str">
        <f>"Tarife "&amp; C8+1</f>
        <v>Tarife 2030</v>
      </c>
      <c r="Q110" s="157" t="s">
        <v>53</v>
      </c>
      <c r="R110" s="122"/>
    </row>
    <row r="111" spans="1:18" x14ac:dyDescent="0.3">
      <c r="B111" s="461"/>
      <c r="C111" s="139"/>
      <c r="D111" s="124"/>
      <c r="E111" s="211"/>
      <c r="F111" s="123"/>
      <c r="G111" s="124"/>
      <c r="H111" s="121" t="s">
        <v>63</v>
      </c>
      <c r="I111" s="213"/>
      <c r="J111" s="123"/>
      <c r="K111" s="124"/>
      <c r="L111" s="121" t="s">
        <v>64</v>
      </c>
      <c r="M111" s="213"/>
      <c r="N111" s="123"/>
      <c r="O111" s="124"/>
      <c r="P111" s="152" t="s">
        <v>65</v>
      </c>
      <c r="Q111" s="158"/>
      <c r="R111" s="122"/>
    </row>
    <row r="112" spans="1:18" ht="14.5" thickBot="1" x14ac:dyDescent="0.35">
      <c r="B112" s="461"/>
      <c r="C112" s="139" t="s">
        <v>38</v>
      </c>
      <c r="D112" s="124" t="s">
        <v>38</v>
      </c>
      <c r="E112" s="211" t="s">
        <v>38</v>
      </c>
      <c r="F112" s="123" t="s">
        <v>38</v>
      </c>
      <c r="G112" s="124" t="s">
        <v>38</v>
      </c>
      <c r="H112" s="121" t="s">
        <v>38</v>
      </c>
      <c r="I112" s="213" t="s">
        <v>38</v>
      </c>
      <c r="J112" s="123" t="s">
        <v>38</v>
      </c>
      <c r="K112" s="124" t="s">
        <v>38</v>
      </c>
      <c r="L112" s="121" t="s">
        <v>38</v>
      </c>
      <c r="M112" s="213" t="s">
        <v>38</v>
      </c>
      <c r="N112" s="123" t="s">
        <v>38</v>
      </c>
      <c r="O112" s="124" t="s">
        <v>38</v>
      </c>
      <c r="P112" s="152" t="s">
        <v>38</v>
      </c>
      <c r="Q112" s="158" t="s">
        <v>38</v>
      </c>
      <c r="R112" s="125" t="s">
        <v>14</v>
      </c>
    </row>
    <row r="113" spans="1:18" s="171" customFormat="1" ht="28" customHeight="1" thickBot="1" x14ac:dyDescent="0.35">
      <c r="A113" s="103"/>
      <c r="B113" s="182" t="str">
        <f>"Übersicht DD 2026 bis Abbau Null "</f>
        <v xml:space="preserve">Übersicht DD 2026 bis Abbau Null </v>
      </c>
      <c r="C113" s="189">
        <f>'DD Energie 2026'!C114</f>
        <v>-0.23858218663372099</v>
      </c>
      <c r="D113" s="129">
        <f>'DD Energie 2026'!D114</f>
        <v>-5.3680991992587218E-3</v>
      </c>
      <c r="E113" s="212">
        <f>'DD Energie 2026'!E114</f>
        <v>-0.24395028583297973</v>
      </c>
      <c r="F113" s="169">
        <f>'DD Energie 2027'!F113</f>
        <v>-6.4646825745739624E-3</v>
      </c>
      <c r="G113" s="147">
        <f>'DD Energie 2027'!G113</f>
        <v>-0.25041496840755367</v>
      </c>
      <c r="H113" s="147">
        <f>'DD Energie 2027'!H113</f>
        <v>8.5017182842555591E-2</v>
      </c>
      <c r="I113" s="210">
        <f>'DD Energie 2027'!I113</f>
        <v>-0.16539778556499807</v>
      </c>
      <c r="J113" s="169">
        <f>'DD Energie 2028'!J113</f>
        <v>-4.6311379958199452E-3</v>
      </c>
      <c r="K113" s="147">
        <f>'DD Energie 2028'!K113</f>
        <v>-0.170028923560818</v>
      </c>
      <c r="L113" s="191">
        <f>'DD Energie 2028'!L113</f>
        <v>8.4890413441235255E-2</v>
      </c>
      <c r="M113" s="205">
        <f>'DD Energie 2028'!M113</f>
        <v>-8.5138510119582747E-2</v>
      </c>
      <c r="N113" s="169">
        <f>M113*(N108/100)</f>
        <v>-2.2561705181689427E-3</v>
      </c>
      <c r="O113" s="147">
        <f>N113+M113</f>
        <v>-8.7394680637751687E-2</v>
      </c>
      <c r="P113" s="196">
        <f>'DD Energie 2028'!P113</f>
        <v>8.752238840293107E-2</v>
      </c>
      <c r="Q113" s="281">
        <f>O113+P113+P114+Q114</f>
        <v>1.2770776517938287E-4</v>
      </c>
      <c r="R113" s="214"/>
    </row>
    <row r="114" spans="1:18" x14ac:dyDescent="0.3">
      <c r="B114" s="188" t="s">
        <v>91</v>
      </c>
      <c r="C114" s="31"/>
      <c r="D114" s="31"/>
      <c r="E114" s="31"/>
      <c r="F114" s="31"/>
      <c r="G114" s="31"/>
      <c r="H114" s="192">
        <f>'DD Energie 2027'!H114</f>
        <v>0</v>
      </c>
      <c r="L114" s="192">
        <f>'DD Energie 2028'!L114</f>
        <v>0</v>
      </c>
      <c r="P114" s="306">
        <f>'DD Energie 2028'!P114</f>
        <v>0</v>
      </c>
      <c r="Q114" s="252"/>
      <c r="R114" s="333">
        <f>O113+P113+P114</f>
        <v>1.2770776517938287E-4</v>
      </c>
    </row>
    <row r="115" spans="1:18" ht="24.75" customHeight="1" x14ac:dyDescent="0.3">
      <c r="H115" s="186" t="s">
        <v>93</v>
      </c>
      <c r="L115" s="186" t="s">
        <v>93</v>
      </c>
      <c r="P115" s="186" t="s">
        <v>93</v>
      </c>
      <c r="Q115" s="186" t="s">
        <v>93</v>
      </c>
    </row>
    <row r="116" spans="1:18" x14ac:dyDescent="0.3">
      <c r="H116" s="190"/>
      <c r="L116" s="190"/>
      <c r="P116" s="190"/>
    </row>
    <row r="117" spans="1:18" x14ac:dyDescent="0.3">
      <c r="H117" s="190"/>
      <c r="L117" s="190"/>
      <c r="P117" s="190"/>
    </row>
    <row r="119" spans="1:18" ht="28" x14ac:dyDescent="0.3">
      <c r="B119" s="283" t="s">
        <v>144</v>
      </c>
      <c r="E119" s="164" t="s">
        <v>101</v>
      </c>
      <c r="I119" s="164" t="s">
        <v>88</v>
      </c>
      <c r="M119" s="164" t="s">
        <v>89</v>
      </c>
      <c r="Q119" s="164" t="s">
        <v>90</v>
      </c>
    </row>
    <row r="120" spans="1:18" ht="30.75" customHeight="1" x14ac:dyDescent="0.3">
      <c r="F120" s="194"/>
      <c r="J120" s="251"/>
      <c r="N120" s="251" t="s">
        <v>141</v>
      </c>
    </row>
    <row r="121" spans="1:18" ht="14.5" thickBot="1" x14ac:dyDescent="0.35">
      <c r="B121" s="31"/>
      <c r="C121" s="180"/>
      <c r="D121" s="254" t="s">
        <v>116</v>
      </c>
      <c r="E121" s="31"/>
      <c r="F121" s="254" t="s">
        <v>116</v>
      </c>
      <c r="G121" s="31"/>
      <c r="H121" s="151"/>
      <c r="I121" s="31"/>
      <c r="J121" s="254" t="s">
        <v>116</v>
      </c>
      <c r="N121" s="254" t="s">
        <v>116</v>
      </c>
    </row>
    <row r="122" spans="1:18" ht="16" thickBot="1" x14ac:dyDescent="0.4">
      <c r="B122" s="3" t="s">
        <v>72</v>
      </c>
      <c r="C122" s="14"/>
      <c r="D122" s="193">
        <f>'DD Energie 2027'!D122</f>
        <v>2.65</v>
      </c>
      <c r="E122" s="14"/>
      <c r="F122" s="193">
        <f>'DD Energie 2028'!F122</f>
        <v>2.8</v>
      </c>
      <c r="G122" s="31"/>
      <c r="H122" s="184"/>
      <c r="I122" s="14"/>
      <c r="J122" s="96">
        <f>D55</f>
        <v>2.65</v>
      </c>
      <c r="K122" s="137"/>
      <c r="L122" s="137"/>
      <c r="M122" s="137"/>
      <c r="N122" s="96">
        <f>J122</f>
        <v>2.65</v>
      </c>
      <c r="R122" s="14"/>
    </row>
    <row r="123" spans="1:18" ht="25.5" x14ac:dyDescent="0.3">
      <c r="B123" s="460"/>
      <c r="C123" s="138" t="s">
        <v>46</v>
      </c>
      <c r="D123" s="111" t="s">
        <v>48</v>
      </c>
      <c r="E123" s="245" t="s">
        <v>106</v>
      </c>
      <c r="F123" s="110" t="s">
        <v>48</v>
      </c>
      <c r="G123" s="111" t="s">
        <v>106</v>
      </c>
      <c r="H123" s="112" t="s">
        <v>51</v>
      </c>
      <c r="I123" s="207" t="s">
        <v>52</v>
      </c>
      <c r="J123" s="110" t="s">
        <v>48</v>
      </c>
      <c r="K123" s="111" t="s">
        <v>106</v>
      </c>
      <c r="L123" s="112" t="s">
        <v>51</v>
      </c>
      <c r="M123" s="207" t="s">
        <v>52</v>
      </c>
      <c r="N123" s="110" t="s">
        <v>48</v>
      </c>
      <c r="O123" s="111" t="s">
        <v>106</v>
      </c>
      <c r="P123" s="150" t="s">
        <v>51</v>
      </c>
      <c r="Q123" s="156" t="s">
        <v>154</v>
      </c>
      <c r="R123" s="113"/>
    </row>
    <row r="124" spans="1:18" x14ac:dyDescent="0.3">
      <c r="B124" s="461"/>
      <c r="C124" s="139" t="s">
        <v>111</v>
      </c>
      <c r="D124" s="124" t="s">
        <v>55</v>
      </c>
      <c r="E124" s="211" t="s">
        <v>62</v>
      </c>
      <c r="F124" s="123" t="s">
        <v>55</v>
      </c>
      <c r="G124" s="124" t="s">
        <v>67</v>
      </c>
      <c r="H124" s="121" t="str">
        <f>"Tarife "&amp; C8</f>
        <v>Tarife 2029</v>
      </c>
      <c r="I124" s="213" t="s">
        <v>57</v>
      </c>
      <c r="J124" s="123" t="s">
        <v>55</v>
      </c>
      <c r="K124" s="124" t="s">
        <v>69</v>
      </c>
      <c r="L124" s="121" t="str">
        <f>"Tarife "&amp; C8+1</f>
        <v>Tarife 2030</v>
      </c>
      <c r="M124" s="213" t="s">
        <v>57</v>
      </c>
      <c r="N124" s="123" t="s">
        <v>55</v>
      </c>
      <c r="O124" s="124" t="s">
        <v>71</v>
      </c>
      <c r="P124" s="152" t="str">
        <f>"Tarife "&amp; C8+2</f>
        <v>Tarife 2031</v>
      </c>
      <c r="Q124" s="157" t="s">
        <v>53</v>
      </c>
      <c r="R124" s="122"/>
    </row>
    <row r="125" spans="1:18" x14ac:dyDescent="0.3">
      <c r="B125" s="461"/>
      <c r="C125" s="139"/>
      <c r="D125" s="124"/>
      <c r="E125" s="211"/>
      <c r="F125" s="123"/>
      <c r="G125" s="124"/>
      <c r="H125" s="121" t="s">
        <v>63</v>
      </c>
      <c r="I125" s="213"/>
      <c r="J125" s="123"/>
      <c r="K125" s="124"/>
      <c r="L125" s="121" t="s">
        <v>64</v>
      </c>
      <c r="M125" s="213"/>
      <c r="N125" s="123"/>
      <c r="O125" s="124"/>
      <c r="P125" s="152" t="s">
        <v>65</v>
      </c>
      <c r="Q125" s="158"/>
      <c r="R125" s="122"/>
    </row>
    <row r="126" spans="1:18" ht="14.5" thickBot="1" x14ac:dyDescent="0.35">
      <c r="B126" s="461"/>
      <c r="C126" s="139" t="s">
        <v>38</v>
      </c>
      <c r="D126" s="124" t="s">
        <v>38</v>
      </c>
      <c r="E126" s="211" t="s">
        <v>38</v>
      </c>
      <c r="F126" s="123" t="s">
        <v>38</v>
      </c>
      <c r="G126" s="124" t="s">
        <v>38</v>
      </c>
      <c r="H126" s="121" t="s">
        <v>38</v>
      </c>
      <c r="I126" s="213" t="s">
        <v>38</v>
      </c>
      <c r="J126" s="123" t="s">
        <v>38</v>
      </c>
      <c r="K126" s="124" t="s">
        <v>38</v>
      </c>
      <c r="L126" s="121" t="s">
        <v>38</v>
      </c>
      <c r="M126" s="213" t="s">
        <v>38</v>
      </c>
      <c r="N126" s="123" t="s">
        <v>38</v>
      </c>
      <c r="O126" s="124" t="s">
        <v>38</v>
      </c>
      <c r="P126" s="152" t="s">
        <v>38</v>
      </c>
      <c r="Q126" s="158" t="s">
        <v>38</v>
      </c>
      <c r="R126" s="125" t="s">
        <v>14</v>
      </c>
    </row>
    <row r="127" spans="1:18" s="171" customFormat="1" ht="28" customHeight="1" thickBot="1" x14ac:dyDescent="0.35">
      <c r="A127" s="103"/>
      <c r="B127" s="182" t="str">
        <f>"Übersicht DD 2027 bis Abbau Null "</f>
        <v xml:space="preserve">Übersicht DD 2027 bis Abbau Null </v>
      </c>
      <c r="C127" s="189">
        <f>'DD Energie 2027'!C127</f>
        <v>146497.3527643804</v>
      </c>
      <c r="D127" s="129">
        <f>'DD Energie 2027'!D127</f>
        <v>3882.1798482560803</v>
      </c>
      <c r="E127" s="212">
        <f>'DD Energie 2027'!E127</f>
        <v>150379.53261263648</v>
      </c>
      <c r="F127" s="169">
        <f>'DD Energie 2028'!F127</f>
        <v>4210.6269131538211</v>
      </c>
      <c r="G127" s="147">
        <f>'DD Energie 2028'!G127</f>
        <v>154590.15952579031</v>
      </c>
      <c r="H127" s="191">
        <f>'DD Energie 2028'!H127</f>
        <v>-52818.417289294477</v>
      </c>
      <c r="I127" s="210">
        <f>'DD Energie 2028'!I127</f>
        <v>101771.74223649583</v>
      </c>
      <c r="J127" s="169">
        <f>I127*(J122/100)</f>
        <v>2696.9511692671394</v>
      </c>
      <c r="K127" s="147">
        <f>J127+I127</f>
        <v>104468.69340576297</v>
      </c>
      <c r="L127" s="191">
        <f>'DD Energie 2028'!L127</f>
        <v>-52310.67550955886</v>
      </c>
      <c r="M127" s="205">
        <f>K127+L127+L128</f>
        <v>52158.01789620411</v>
      </c>
      <c r="N127" s="169">
        <f>M127*(N122/100)</f>
        <v>1382.187474249409</v>
      </c>
      <c r="O127" s="147">
        <f>N127+M127</f>
        <v>53540.205370453521</v>
      </c>
      <c r="P127" s="155">
        <f>-O127-P128</f>
        <v>-53540.205370453521</v>
      </c>
      <c r="Q127" s="168">
        <f>O127+P127+P128</f>
        <v>0</v>
      </c>
      <c r="R127" s="214"/>
    </row>
    <row r="128" spans="1:18" x14ac:dyDescent="0.3">
      <c r="B128" s="188" t="s">
        <v>91</v>
      </c>
      <c r="C128" s="31"/>
      <c r="D128" s="31"/>
      <c r="F128" s="31"/>
      <c r="G128" s="31"/>
      <c r="H128" s="192">
        <f>'DD Energie 2028'!H128</f>
        <v>0</v>
      </c>
      <c r="L128" s="306">
        <f>'DD Energie 2028'!L128</f>
        <v>0</v>
      </c>
      <c r="P128" s="252">
        <v>0</v>
      </c>
      <c r="Q128" s="104"/>
    </row>
    <row r="129" spans="1:18" ht="24.75" customHeight="1" x14ac:dyDescent="0.3">
      <c r="H129" s="186" t="s">
        <v>93</v>
      </c>
      <c r="L129" s="186" t="s">
        <v>93</v>
      </c>
      <c r="P129" s="186" t="s">
        <v>93</v>
      </c>
    </row>
    <row r="130" spans="1:18" x14ac:dyDescent="0.3">
      <c r="H130" s="190"/>
      <c r="L130" s="190"/>
      <c r="P130" s="190"/>
    </row>
    <row r="131" spans="1:18" x14ac:dyDescent="0.3">
      <c r="H131" s="190"/>
      <c r="L131" s="190"/>
      <c r="P131" s="190"/>
    </row>
    <row r="133" spans="1:18" ht="28" x14ac:dyDescent="0.3">
      <c r="B133" s="283" t="s">
        <v>144</v>
      </c>
      <c r="E133" s="164" t="s">
        <v>102</v>
      </c>
      <c r="I133" s="164" t="s">
        <v>89</v>
      </c>
      <c r="M133" s="164" t="s">
        <v>90</v>
      </c>
      <c r="Q133" s="164" t="s">
        <v>118</v>
      </c>
    </row>
    <row r="134" spans="1:18" ht="30.75" customHeight="1" x14ac:dyDescent="0.3">
      <c r="A134" s="104"/>
      <c r="F134" s="251"/>
      <c r="J134" s="251" t="s">
        <v>141</v>
      </c>
      <c r="N134" s="251" t="s">
        <v>142</v>
      </c>
    </row>
    <row r="135" spans="1:18" ht="14.5" thickBot="1" x14ac:dyDescent="0.35">
      <c r="A135" s="386"/>
      <c r="B135" s="31"/>
      <c r="C135" s="180"/>
      <c r="D135" s="254" t="s">
        <v>116</v>
      </c>
      <c r="E135" s="31"/>
      <c r="F135" s="254" t="s">
        <v>116</v>
      </c>
      <c r="G135" s="31"/>
      <c r="H135" s="151"/>
      <c r="I135" s="31"/>
      <c r="J135" s="254" t="s">
        <v>116</v>
      </c>
      <c r="N135" s="254" t="s">
        <v>116</v>
      </c>
    </row>
    <row r="136" spans="1:18" ht="16" thickBot="1" x14ac:dyDescent="0.4">
      <c r="B136" s="3" t="s">
        <v>121</v>
      </c>
      <c r="C136" s="14"/>
      <c r="D136" s="193">
        <f>'DD Energie 2028'!D136</f>
        <v>2.8</v>
      </c>
      <c r="E136" s="14"/>
      <c r="F136" s="96">
        <f>D55</f>
        <v>2.65</v>
      </c>
      <c r="G136" s="31"/>
      <c r="H136" s="184"/>
      <c r="I136" s="14"/>
      <c r="J136" s="96">
        <f>N122</f>
        <v>2.65</v>
      </c>
      <c r="K136" s="137"/>
      <c r="L136" s="137"/>
      <c r="M136" s="137"/>
      <c r="N136" s="96">
        <f>J136</f>
        <v>2.65</v>
      </c>
      <c r="R136" s="14"/>
    </row>
    <row r="137" spans="1:18" ht="25.5" x14ac:dyDescent="0.3">
      <c r="B137" s="460"/>
      <c r="C137" s="138" t="s">
        <v>46</v>
      </c>
      <c r="D137" s="111" t="s">
        <v>48</v>
      </c>
      <c r="E137" s="245" t="s">
        <v>106</v>
      </c>
      <c r="F137" s="110" t="s">
        <v>48</v>
      </c>
      <c r="G137" s="111" t="s">
        <v>106</v>
      </c>
      <c r="H137" s="112" t="s">
        <v>51</v>
      </c>
      <c r="I137" s="207" t="s">
        <v>52</v>
      </c>
      <c r="J137" s="110" t="s">
        <v>48</v>
      </c>
      <c r="K137" s="111" t="s">
        <v>106</v>
      </c>
      <c r="L137" s="112" t="s">
        <v>51</v>
      </c>
      <c r="M137" s="150" t="s">
        <v>52</v>
      </c>
      <c r="N137" s="247" t="s">
        <v>48</v>
      </c>
      <c r="O137" s="111" t="s">
        <v>106</v>
      </c>
      <c r="P137" s="150" t="s">
        <v>51</v>
      </c>
      <c r="Q137" s="156" t="s">
        <v>154</v>
      </c>
      <c r="R137" s="113"/>
    </row>
    <row r="138" spans="1:18" x14ac:dyDescent="0.3">
      <c r="B138" s="461"/>
      <c r="C138" s="139" t="s">
        <v>112</v>
      </c>
      <c r="D138" s="124" t="s">
        <v>55</v>
      </c>
      <c r="E138" s="211" t="s">
        <v>67</v>
      </c>
      <c r="F138" s="123" t="s">
        <v>55</v>
      </c>
      <c r="G138" s="124" t="s">
        <v>69</v>
      </c>
      <c r="H138" s="121" t="str">
        <f>"Tarife "&amp; C8+1</f>
        <v>Tarife 2030</v>
      </c>
      <c r="I138" s="213" t="s">
        <v>57</v>
      </c>
      <c r="J138" s="123" t="s">
        <v>55</v>
      </c>
      <c r="K138" s="124" t="s">
        <v>71</v>
      </c>
      <c r="L138" s="121" t="str">
        <f>"Tarife "&amp; C8+2</f>
        <v>Tarife 2031</v>
      </c>
      <c r="M138" s="213" t="s">
        <v>57</v>
      </c>
      <c r="N138" s="123" t="s">
        <v>55</v>
      </c>
      <c r="O138" s="124" t="s">
        <v>73</v>
      </c>
      <c r="P138" s="152" t="str">
        <f>"Tarife "&amp; C8+3</f>
        <v>Tarife 2032</v>
      </c>
      <c r="Q138" s="157" t="s">
        <v>53</v>
      </c>
      <c r="R138" s="122"/>
    </row>
    <row r="139" spans="1:18" x14ac:dyDescent="0.3">
      <c r="B139" s="461"/>
      <c r="C139" s="139"/>
      <c r="D139" s="124"/>
      <c r="E139" s="211"/>
      <c r="F139" s="123"/>
      <c r="G139" s="124"/>
      <c r="H139" s="121" t="s">
        <v>63</v>
      </c>
      <c r="I139" s="213"/>
      <c r="J139" s="123"/>
      <c r="K139" s="124"/>
      <c r="L139" s="121" t="s">
        <v>64</v>
      </c>
      <c r="M139" s="213"/>
      <c r="N139" s="123"/>
      <c r="O139" s="124"/>
      <c r="P139" s="152" t="s">
        <v>65</v>
      </c>
      <c r="Q139" s="158"/>
      <c r="R139" s="122"/>
    </row>
    <row r="140" spans="1:18" ht="14.5" thickBot="1" x14ac:dyDescent="0.35">
      <c r="B140" s="461"/>
      <c r="C140" s="139" t="s">
        <v>38</v>
      </c>
      <c r="D140" s="124" t="s">
        <v>38</v>
      </c>
      <c r="E140" s="211" t="s">
        <v>38</v>
      </c>
      <c r="F140" s="123" t="s">
        <v>38</v>
      </c>
      <c r="G140" s="124" t="s">
        <v>38</v>
      </c>
      <c r="H140" s="121" t="s">
        <v>38</v>
      </c>
      <c r="I140" s="213" t="s">
        <v>38</v>
      </c>
      <c r="J140" s="123" t="s">
        <v>38</v>
      </c>
      <c r="K140" s="124" t="s">
        <v>38</v>
      </c>
      <c r="L140" s="121" t="s">
        <v>38</v>
      </c>
      <c r="M140" s="213" t="s">
        <v>38</v>
      </c>
      <c r="N140" s="123" t="s">
        <v>38</v>
      </c>
      <c r="O140" s="124" t="s">
        <v>38</v>
      </c>
      <c r="P140" s="152" t="s">
        <v>38</v>
      </c>
      <c r="Q140" s="158" t="s">
        <v>38</v>
      </c>
      <c r="R140" s="125" t="s">
        <v>14</v>
      </c>
    </row>
    <row r="141" spans="1:18" s="171" customFormat="1" ht="27" customHeight="1" thickBot="1" x14ac:dyDescent="0.35">
      <c r="A141" s="103"/>
      <c r="B141" s="182" t="str">
        <f>"Übersicht DD 2028 bis Abbau Null "</f>
        <v xml:space="preserve">Übersicht DD 2028 bis Abbau Null </v>
      </c>
      <c r="C141" s="189">
        <f>'DD Energie 2028'!C141</f>
        <v>-84297.019449779997</v>
      </c>
      <c r="D141" s="129">
        <f>'DD Energie 2028'!D141</f>
        <v>-2360.3165445938398</v>
      </c>
      <c r="E141" s="212">
        <f>'DD Energie 2028'!E141</f>
        <v>-86657.335994373832</v>
      </c>
      <c r="F141" s="169">
        <f>E141*(F136/100)</f>
        <v>-2296.4194038509063</v>
      </c>
      <c r="G141" s="147">
        <f>E141+F141</f>
        <v>-88953.755398224734</v>
      </c>
      <c r="H141" s="191">
        <f>'DD Energie 2028'!H141</f>
        <v>23672.695387159452</v>
      </c>
      <c r="I141" s="210">
        <f>'DD Energie 2028'!I141</f>
        <v>-45411.046015056847</v>
      </c>
      <c r="J141" s="169">
        <f>I141*(J136/100)</f>
        <v>-1203.3927193990064</v>
      </c>
      <c r="K141" s="147">
        <f>J141+I141</f>
        <v>-46614.438734455856</v>
      </c>
      <c r="L141" s="149">
        <f>IF(L142&lt;ABS(K141),(-K141-L142)/2,0)</f>
        <v>13307.219367227928</v>
      </c>
      <c r="M141" s="205">
        <f>K141+L141+L142</f>
        <v>-13307.219367227925</v>
      </c>
      <c r="N141" s="169">
        <f>M141*(N136/100)</f>
        <v>-352.64131323153998</v>
      </c>
      <c r="O141" s="147">
        <f>N141+M141</f>
        <v>-13659.860680459464</v>
      </c>
      <c r="P141" s="155">
        <f>-O141-P142</f>
        <v>13659.860680459464</v>
      </c>
      <c r="Q141" s="168">
        <f>O141+P141+P142</f>
        <v>0</v>
      </c>
      <c r="R141" s="214"/>
    </row>
    <row r="142" spans="1:18" x14ac:dyDescent="0.3">
      <c r="B142" s="188" t="s">
        <v>91</v>
      </c>
      <c r="C142" s="31"/>
      <c r="D142" s="31"/>
      <c r="F142" s="31"/>
      <c r="G142" s="31"/>
      <c r="H142" s="306">
        <f>'DD Energie 2028'!H142</f>
        <v>20000</v>
      </c>
      <c r="L142" s="252">
        <v>20000</v>
      </c>
      <c r="M142" s="103"/>
      <c r="N142" s="103"/>
      <c r="O142" s="103"/>
      <c r="P142" s="252">
        <v>0</v>
      </c>
      <c r="Q142" s="104"/>
    </row>
    <row r="143" spans="1:18" ht="24" customHeight="1" x14ac:dyDescent="0.3">
      <c r="B143" s="31"/>
      <c r="C143" s="31"/>
      <c r="D143" s="31"/>
      <c r="F143" s="31"/>
      <c r="G143" s="31"/>
      <c r="H143" s="186" t="s">
        <v>93</v>
      </c>
      <c r="L143" s="186" t="s">
        <v>93</v>
      </c>
      <c r="P143" s="186" t="s">
        <v>93</v>
      </c>
      <c r="Q143" s="104"/>
    </row>
    <row r="144" spans="1:18" x14ac:dyDescent="0.3">
      <c r="H144" s="190"/>
      <c r="L144" s="190"/>
      <c r="P144" s="190"/>
    </row>
    <row r="145" spans="1:22" x14ac:dyDescent="0.3">
      <c r="H145" s="190"/>
      <c r="L145" s="190"/>
      <c r="P145" s="190"/>
    </row>
    <row r="146" spans="1:22" x14ac:dyDescent="0.3">
      <c r="H146" s="190"/>
      <c r="L146" s="190"/>
      <c r="P146" s="190"/>
    </row>
    <row r="147" spans="1:22" ht="28" x14ac:dyDescent="0.3">
      <c r="B147" s="283" t="s">
        <v>144</v>
      </c>
      <c r="E147" s="164" t="s">
        <v>89</v>
      </c>
      <c r="I147" s="164" t="s">
        <v>90</v>
      </c>
      <c r="M147" s="164" t="s">
        <v>118</v>
      </c>
      <c r="Q147" s="164" t="s">
        <v>122</v>
      </c>
    </row>
    <row r="148" spans="1:22" ht="30.75" customHeight="1" x14ac:dyDescent="0.3">
      <c r="F148" s="251" t="s">
        <v>141</v>
      </c>
      <c r="J148" s="251" t="s">
        <v>142</v>
      </c>
      <c r="N148" s="251" t="s">
        <v>143</v>
      </c>
    </row>
    <row r="149" spans="1:22" ht="14.5" thickBot="1" x14ac:dyDescent="0.35">
      <c r="B149" s="31"/>
      <c r="C149" s="180"/>
      <c r="D149" s="254" t="s">
        <v>116</v>
      </c>
      <c r="E149" s="31"/>
      <c r="F149" s="254" t="s">
        <v>116</v>
      </c>
      <c r="G149" s="31"/>
      <c r="H149" s="151"/>
      <c r="I149" s="31"/>
      <c r="J149" s="254" t="s">
        <v>116</v>
      </c>
      <c r="N149" s="254" t="s">
        <v>116</v>
      </c>
    </row>
    <row r="150" spans="1:22" ht="16" thickBot="1" x14ac:dyDescent="0.4">
      <c r="B150" s="3" t="s">
        <v>139</v>
      </c>
      <c r="C150" s="14"/>
      <c r="D150" s="96">
        <f>D55</f>
        <v>2.65</v>
      </c>
      <c r="E150" s="14"/>
      <c r="F150" s="96">
        <f>J136</f>
        <v>2.65</v>
      </c>
      <c r="G150" s="31"/>
      <c r="H150" s="184"/>
      <c r="I150" s="14"/>
      <c r="J150" s="96">
        <f>N136</f>
        <v>2.65</v>
      </c>
      <c r="K150" s="137"/>
      <c r="L150" s="137"/>
      <c r="M150" s="137"/>
      <c r="N150" s="96">
        <f>J150</f>
        <v>2.65</v>
      </c>
      <c r="R150" s="14"/>
    </row>
    <row r="151" spans="1:22" ht="25.5" x14ac:dyDescent="0.3">
      <c r="A151" s="474"/>
      <c r="B151" s="460"/>
      <c r="C151" s="138" t="s">
        <v>46</v>
      </c>
      <c r="D151" s="111" t="s">
        <v>48</v>
      </c>
      <c r="E151" s="245" t="s">
        <v>106</v>
      </c>
      <c r="F151" s="110" t="s">
        <v>48</v>
      </c>
      <c r="G151" s="111" t="s">
        <v>106</v>
      </c>
      <c r="H151" s="112" t="s">
        <v>51</v>
      </c>
      <c r="I151" s="207" t="s">
        <v>52</v>
      </c>
      <c r="J151" s="110" t="s">
        <v>48</v>
      </c>
      <c r="K151" s="111" t="s">
        <v>106</v>
      </c>
      <c r="L151" s="112" t="s">
        <v>51</v>
      </c>
      <c r="M151" s="150" t="s">
        <v>52</v>
      </c>
      <c r="N151" s="247" t="s">
        <v>48</v>
      </c>
      <c r="O151" s="111" t="s">
        <v>106</v>
      </c>
      <c r="P151" s="150" t="s">
        <v>51</v>
      </c>
      <c r="Q151" s="156" t="s">
        <v>154</v>
      </c>
      <c r="R151" s="113"/>
    </row>
    <row r="152" spans="1:22" x14ac:dyDescent="0.3">
      <c r="A152" s="474"/>
      <c r="B152" s="461"/>
      <c r="C152" s="139" t="s">
        <v>123</v>
      </c>
      <c r="D152" s="124" t="s">
        <v>55</v>
      </c>
      <c r="E152" s="211" t="s">
        <v>69</v>
      </c>
      <c r="F152" s="123" t="s">
        <v>55</v>
      </c>
      <c r="G152" s="124" t="s">
        <v>71</v>
      </c>
      <c r="H152" s="121" t="str">
        <f>"Tarife "&amp; C8+2</f>
        <v>Tarife 2031</v>
      </c>
      <c r="I152" s="213" t="s">
        <v>57</v>
      </c>
      <c r="J152" s="123" t="s">
        <v>55</v>
      </c>
      <c r="K152" s="124" t="s">
        <v>73</v>
      </c>
      <c r="L152" s="121" t="str">
        <f>"Tarife "&amp; C8+3</f>
        <v>Tarife 2032</v>
      </c>
      <c r="M152" s="213" t="s">
        <v>57</v>
      </c>
      <c r="N152" s="123" t="s">
        <v>55</v>
      </c>
      <c r="O152" s="124" t="s">
        <v>138</v>
      </c>
      <c r="P152" s="152" t="str">
        <f>"Tarife "&amp; C8+4</f>
        <v>Tarife 2033</v>
      </c>
      <c r="Q152" s="157" t="s">
        <v>53</v>
      </c>
      <c r="R152" s="122"/>
    </row>
    <row r="153" spans="1:22" x14ac:dyDescent="0.3">
      <c r="A153" s="474"/>
      <c r="B153" s="461"/>
      <c r="C153" s="139"/>
      <c r="D153" s="124"/>
      <c r="E153" s="211"/>
      <c r="F153" s="123"/>
      <c r="G153" s="124"/>
      <c r="H153" s="121" t="s">
        <v>63</v>
      </c>
      <c r="I153" s="213"/>
      <c r="J153" s="123"/>
      <c r="K153" s="124"/>
      <c r="L153" s="121" t="s">
        <v>64</v>
      </c>
      <c r="M153" s="213"/>
      <c r="N153" s="123"/>
      <c r="O153" s="124"/>
      <c r="P153" s="152" t="s">
        <v>65</v>
      </c>
      <c r="Q153" s="158"/>
      <c r="R153" s="122"/>
    </row>
    <row r="154" spans="1:22" ht="14.5" thickBot="1" x14ac:dyDescent="0.35">
      <c r="B154" s="461"/>
      <c r="C154" s="139" t="s">
        <v>38</v>
      </c>
      <c r="D154" s="124" t="s">
        <v>38</v>
      </c>
      <c r="E154" s="211" t="s">
        <v>38</v>
      </c>
      <c r="F154" s="123" t="s">
        <v>38</v>
      </c>
      <c r="G154" s="124" t="s">
        <v>38</v>
      </c>
      <c r="H154" s="121" t="s">
        <v>38</v>
      </c>
      <c r="I154" s="213" t="s">
        <v>38</v>
      </c>
      <c r="J154" s="123" t="s">
        <v>38</v>
      </c>
      <c r="K154" s="124" t="s">
        <v>38</v>
      </c>
      <c r="L154" s="121" t="s">
        <v>38</v>
      </c>
      <c r="M154" s="213" t="s">
        <v>38</v>
      </c>
      <c r="N154" s="123" t="s">
        <v>38</v>
      </c>
      <c r="O154" s="124" t="s">
        <v>38</v>
      </c>
      <c r="P154" s="152" t="s">
        <v>38</v>
      </c>
      <c r="Q154" s="158" t="s">
        <v>38</v>
      </c>
      <c r="R154" s="125" t="s">
        <v>14</v>
      </c>
    </row>
    <row r="155" spans="1:22" s="171" customFormat="1" ht="27" customHeight="1" thickBot="1" x14ac:dyDescent="0.35">
      <c r="A155" s="257"/>
      <c r="B155" s="182" t="str">
        <f>"Übersicht DD 2029 bis Abbau Null "</f>
        <v xml:space="preserve">Übersicht DD 2029 bis Abbau Null </v>
      </c>
      <c r="C155" s="140">
        <f>D51</f>
        <v>-39831.195349209942</v>
      </c>
      <c r="D155" s="129">
        <f>C155*(D150/100)</f>
        <v>-1055.5266767540634</v>
      </c>
      <c r="E155" s="212">
        <f>D155+C155</f>
        <v>-40886.722025964002</v>
      </c>
      <c r="F155" s="169">
        <f>E155*(F150/100)</f>
        <v>-1083.498133688046</v>
      </c>
      <c r="G155" s="147">
        <f>E155+F155</f>
        <v>-41970.220159652046</v>
      </c>
      <c r="H155" s="149">
        <f>IF(H156&lt;ABS(G155),(-G155-H156)/3*(1+F150/100),0)</f>
        <v>10939.143664627609</v>
      </c>
      <c r="I155" s="210">
        <f>G155+H155+H156</f>
        <v>-21031.076495024437</v>
      </c>
      <c r="J155" s="169">
        <f>I155*(J150/100)</f>
        <v>-557.32352711814758</v>
      </c>
      <c r="K155" s="147">
        <f>J155+I155</f>
        <v>-21588.400022142585</v>
      </c>
      <c r="L155" s="149">
        <f>IF(L156&lt;ABS(K155),(-K155-L156)/2,0)</f>
        <v>10794.200011071292</v>
      </c>
      <c r="M155" s="205">
        <f>K155+L155+L156</f>
        <v>-10794.200011071292</v>
      </c>
      <c r="N155" s="169">
        <f>M155*(N150/100)</f>
        <v>-286.04630029338927</v>
      </c>
      <c r="O155" s="147">
        <f>N155+M155</f>
        <v>-11080.246311364681</v>
      </c>
      <c r="P155" s="155">
        <f>-O155-P156</f>
        <v>11080.246311364681</v>
      </c>
      <c r="Q155" s="168">
        <f>O155+P155+P156</f>
        <v>0</v>
      </c>
      <c r="R155" s="214"/>
    </row>
    <row r="156" spans="1:22" x14ac:dyDescent="0.3">
      <c r="B156" s="188" t="s">
        <v>91</v>
      </c>
      <c r="C156" s="31"/>
      <c r="D156" s="31"/>
      <c r="F156" s="31"/>
      <c r="G156" s="31"/>
      <c r="H156" s="252">
        <v>10000</v>
      </c>
      <c r="I156" s="31"/>
      <c r="J156" s="103"/>
      <c r="K156" s="103"/>
      <c r="L156" s="252">
        <v>0</v>
      </c>
      <c r="M156" s="103"/>
      <c r="N156" s="103"/>
      <c r="O156" s="103"/>
      <c r="P156" s="252">
        <v>0</v>
      </c>
      <c r="Q156" s="104"/>
    </row>
    <row r="157" spans="1:22" ht="24" customHeight="1" x14ac:dyDescent="0.3">
      <c r="B157" s="31"/>
      <c r="C157" s="31"/>
      <c r="D157" s="31"/>
      <c r="F157" s="31"/>
      <c r="G157" s="31"/>
      <c r="H157" s="186" t="s">
        <v>93</v>
      </c>
      <c r="L157" s="186" t="s">
        <v>93</v>
      </c>
      <c r="P157" s="186" t="s">
        <v>93</v>
      </c>
      <c r="Q157" s="104"/>
    </row>
    <row r="158" spans="1:22" x14ac:dyDescent="0.3">
      <c r="B158" s="31"/>
      <c r="C158" s="31"/>
      <c r="D158" s="31"/>
      <c r="F158" s="31"/>
      <c r="G158" s="31"/>
      <c r="H158" s="131"/>
      <c r="L158" s="131"/>
      <c r="P158" s="131"/>
      <c r="Q158" s="104"/>
    </row>
    <row r="159" spans="1:22" x14ac:dyDescent="0.3">
      <c r="B159" s="143"/>
      <c r="C159" s="31"/>
      <c r="D159" s="31"/>
      <c r="E159" s="31"/>
      <c r="F159" s="31"/>
      <c r="G159" s="31"/>
      <c r="H159" s="31"/>
      <c r="I159" s="31"/>
      <c r="J159" s="31"/>
      <c r="K159" s="144"/>
      <c r="O159" s="144"/>
      <c r="S159" s="144"/>
      <c r="T159" s="104"/>
    </row>
    <row r="160" spans="1:22" s="102" customFormat="1" ht="28.5" customHeight="1" x14ac:dyDescent="0.35">
      <c r="A160" s="145" t="s">
        <v>74</v>
      </c>
      <c r="B160" s="100"/>
      <c r="C160" s="100"/>
      <c r="D160" s="100"/>
      <c r="E160" s="100"/>
      <c r="F160" s="100"/>
      <c r="G160" s="100"/>
      <c r="H160" s="101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</row>
    <row r="162" spans="1:22" ht="15.5" x14ac:dyDescent="0.35">
      <c r="B162" s="3" t="s">
        <v>74</v>
      </c>
      <c r="C162" s="81" t="s">
        <v>92</v>
      </c>
      <c r="D162" s="81" t="s">
        <v>75</v>
      </c>
      <c r="E162" s="14" t="s">
        <v>76</v>
      </c>
      <c r="F162" s="14" t="s">
        <v>77</v>
      </c>
      <c r="G162" s="81" t="s">
        <v>98</v>
      </c>
      <c r="H162" s="14"/>
      <c r="I162" s="49"/>
      <c r="K162" s="14"/>
      <c r="M162" s="81"/>
      <c r="Q162" s="81"/>
      <c r="U162" s="14"/>
    </row>
    <row r="163" spans="1:22" ht="16" thickBot="1" x14ac:dyDescent="0.4">
      <c r="B163" s="3"/>
      <c r="C163" s="317" t="s">
        <v>150</v>
      </c>
      <c r="D163" s="445" t="s">
        <v>151</v>
      </c>
      <c r="E163" s="446"/>
      <c r="F163" s="14"/>
      <c r="G163" s="81"/>
      <c r="H163" s="14"/>
      <c r="I163" s="49"/>
      <c r="K163" s="14"/>
      <c r="M163" s="81"/>
      <c r="Q163" s="81"/>
      <c r="U163" s="14"/>
    </row>
    <row r="164" spans="1:22" ht="33" customHeight="1" x14ac:dyDescent="0.3">
      <c r="A164" s="258"/>
      <c r="B164" s="460"/>
      <c r="C164" s="121" t="s">
        <v>45</v>
      </c>
      <c r="D164" s="124" t="s">
        <v>146</v>
      </c>
      <c r="E164" s="318" t="s">
        <v>145</v>
      </c>
      <c r="F164" s="112" t="s">
        <v>120</v>
      </c>
      <c r="G164" s="217" t="s">
        <v>120</v>
      </c>
      <c r="H164" s="31"/>
    </row>
    <row r="165" spans="1:22" x14ac:dyDescent="0.3">
      <c r="B165" s="461"/>
      <c r="C165" s="215"/>
      <c r="D165" s="146">
        <f>$C$8</f>
        <v>2029</v>
      </c>
      <c r="E165" s="146">
        <f>C8</f>
        <v>2029</v>
      </c>
      <c r="F165" s="146">
        <f>E165+1</f>
        <v>2030</v>
      </c>
      <c r="G165" s="244">
        <f>E165+2</f>
        <v>2031</v>
      </c>
      <c r="H165" s="49"/>
    </row>
    <row r="166" spans="1:22" ht="14.5" thickBot="1" x14ac:dyDescent="0.35">
      <c r="B166" s="462"/>
      <c r="C166" s="139" t="s">
        <v>38</v>
      </c>
      <c r="D166" s="124" t="s">
        <v>38</v>
      </c>
      <c r="E166" s="179" t="s">
        <v>38</v>
      </c>
      <c r="F166" s="121" t="s">
        <v>38</v>
      </c>
      <c r="G166" s="218" t="s">
        <v>38</v>
      </c>
    </row>
    <row r="167" spans="1:22" ht="14.5" thickBot="1" x14ac:dyDescent="0.35">
      <c r="B167" s="126" t="s">
        <v>78</v>
      </c>
      <c r="C167" s="249"/>
      <c r="D167" s="222">
        <f>SUM(D169:D171)</f>
        <v>6746.9720088550284</v>
      </c>
      <c r="E167" s="222">
        <f>C155</f>
        <v>-39831.195349209942</v>
      </c>
      <c r="F167" s="223">
        <f>SUM(F169:F171)+F172</f>
        <v>-28691.15680794678</v>
      </c>
      <c r="G167" s="286">
        <f>SUM(G168:G170)+G172</f>
        <v>-29293.842466305749</v>
      </c>
    </row>
    <row r="168" spans="1:22" ht="14.5" thickBot="1" x14ac:dyDescent="0.35">
      <c r="B168" s="216" t="str">
        <f>"davon t ["&amp;$C$8&amp;"]"</f>
        <v>davon t [2029]</v>
      </c>
      <c r="C168" s="301"/>
      <c r="D168" s="301"/>
      <c r="E168" s="301"/>
      <c r="F168" s="301"/>
      <c r="G168" s="226">
        <f>H155</f>
        <v>10939.143664627609</v>
      </c>
      <c r="I168" s="31"/>
      <c r="K168" s="31"/>
      <c r="L168" s="31"/>
      <c r="M168" s="131"/>
      <c r="Q168" s="131"/>
      <c r="U168" s="131"/>
      <c r="V168" s="104"/>
    </row>
    <row r="169" spans="1:22" ht="14.5" thickBot="1" x14ac:dyDescent="0.35">
      <c r="B169" s="216" t="str">
        <f>"davon t-1 ["&amp;$C$8-1&amp;"]"</f>
        <v>davon t-1 [2028]</v>
      </c>
      <c r="C169" s="302"/>
      <c r="D169" s="219">
        <f>I141</f>
        <v>-45411.046015056847</v>
      </c>
      <c r="E169" s="302"/>
      <c r="F169" s="221">
        <f>H141</f>
        <v>23672.695387159452</v>
      </c>
      <c r="G169" s="225">
        <f>L141</f>
        <v>13307.219367227928</v>
      </c>
      <c r="H169" s="49"/>
      <c r="J169" s="31"/>
      <c r="K169" s="31"/>
      <c r="S169" s="1"/>
    </row>
    <row r="170" spans="1:22" ht="14.5" thickBot="1" x14ac:dyDescent="0.35">
      <c r="B170" s="216" t="str">
        <f>"davon t-2 ["&amp;$C$8-2&amp;"]"</f>
        <v>davon t-2 [2027]</v>
      </c>
      <c r="C170" s="302"/>
      <c r="D170" s="219">
        <f>M127</f>
        <v>52158.01789620411</v>
      </c>
      <c r="E170" s="302"/>
      <c r="F170" s="221">
        <f>L127</f>
        <v>-52310.67550955886</v>
      </c>
      <c r="G170" s="225">
        <f>P127</f>
        <v>-53540.205370453521</v>
      </c>
    </row>
    <row r="171" spans="1:22" ht="14.5" thickBot="1" x14ac:dyDescent="0.35">
      <c r="B171" s="246" t="str">
        <f>"davon t-3 ["&amp;$C$8-3&amp;"]"</f>
        <v>davon t-3 [2026]</v>
      </c>
      <c r="C171" s="304"/>
      <c r="D171" s="220">
        <f>Q113</f>
        <v>1.2770776517938287E-4</v>
      </c>
      <c r="E171" s="304"/>
      <c r="F171" s="220">
        <f>P113</f>
        <v>8.752238840293107E-2</v>
      </c>
      <c r="G171" s="305"/>
      <c r="K171" s="148"/>
    </row>
    <row r="172" spans="1:22" ht="14.5" thickBot="1" x14ac:dyDescent="0.35">
      <c r="B172" s="288" t="s">
        <v>124</v>
      </c>
      <c r="C172" s="103"/>
      <c r="D172" s="103"/>
      <c r="E172" s="103"/>
      <c r="F172" s="289">
        <f>'DD Energie 2028'!G158</f>
        <v>-53.26420793577563</v>
      </c>
      <c r="G172" s="289">
        <f>-Q113</f>
        <v>-1.2770776517938287E-4</v>
      </c>
    </row>
    <row r="173" spans="1:22" x14ac:dyDescent="0.3">
      <c r="B173" s="104"/>
      <c r="C173" s="104"/>
    </row>
    <row r="174" spans="1:22" x14ac:dyDescent="0.3">
      <c r="B174" s="104"/>
    </row>
  </sheetData>
  <sheetProtection formatCells="0" formatColumns="0" formatRows="0" selectLockedCells="1"/>
  <dataConsolidate/>
  <mergeCells count="46">
    <mergeCell ref="A151:A153"/>
    <mergeCell ref="B81:B84"/>
    <mergeCell ref="B95:B98"/>
    <mergeCell ref="B109:B112"/>
    <mergeCell ref="B123:B126"/>
    <mergeCell ref="B137:B140"/>
    <mergeCell ref="B164:B166"/>
    <mergeCell ref="B151:B154"/>
    <mergeCell ref="B68:B70"/>
    <mergeCell ref="D77:D78"/>
    <mergeCell ref="D163:E163"/>
    <mergeCell ref="E52:K52"/>
    <mergeCell ref="E53:K53"/>
    <mergeCell ref="B55:C55"/>
    <mergeCell ref="E55:K55"/>
    <mergeCell ref="E57:K57"/>
    <mergeCell ref="B47:C47"/>
    <mergeCell ref="E47:K47"/>
    <mergeCell ref="B48:C48"/>
    <mergeCell ref="E48:K48"/>
    <mergeCell ref="B51:C51"/>
    <mergeCell ref="E51:K51"/>
    <mergeCell ref="B46:C46"/>
    <mergeCell ref="E46:K46"/>
    <mergeCell ref="J29:K29"/>
    <mergeCell ref="J30:K30"/>
    <mergeCell ref="J31:K31"/>
    <mergeCell ref="J32:K32"/>
    <mergeCell ref="J33:K33"/>
    <mergeCell ref="J34:K34"/>
    <mergeCell ref="J35:K35"/>
    <mergeCell ref="B37:C37"/>
    <mergeCell ref="E42:K42"/>
    <mergeCell ref="E37:K37"/>
    <mergeCell ref="J28:K28"/>
    <mergeCell ref="B16:B17"/>
    <mergeCell ref="J16:K16"/>
    <mergeCell ref="J17:K17"/>
    <mergeCell ref="J18:K18"/>
    <mergeCell ref="J21:K21"/>
    <mergeCell ref="J22:K22"/>
    <mergeCell ref="J23:K23"/>
    <mergeCell ref="J24:K24"/>
    <mergeCell ref="J25:K25"/>
    <mergeCell ref="J26:K26"/>
    <mergeCell ref="J27:K27"/>
  </mergeCells>
  <conditionalFormatting sqref="F167">
    <cfRule type="cellIs" dxfId="45" priority="101" stopIfTrue="1" operator="notEqual">
      <formula>0</formula>
    </cfRule>
  </conditionalFormatting>
  <conditionalFormatting sqref="F169:F170">
    <cfRule type="cellIs" dxfId="44" priority="96" stopIfTrue="1" operator="notEqual">
      <formula>0</formula>
    </cfRule>
  </conditionalFormatting>
  <conditionalFormatting sqref="F172:G172">
    <cfRule type="cellIs" dxfId="43" priority="59" stopIfTrue="1" operator="notEqual">
      <formula>0</formula>
    </cfRule>
  </conditionalFormatting>
  <conditionalFormatting sqref="F85:I85">
    <cfRule type="cellIs" dxfId="42" priority="45" stopIfTrue="1" operator="notEqual">
      <formula>0</formula>
    </cfRule>
  </conditionalFormatting>
  <conditionalFormatting sqref="F99:I99">
    <cfRule type="cellIs" dxfId="41" priority="39" stopIfTrue="1" operator="notEqual">
      <formula>0</formula>
    </cfRule>
  </conditionalFormatting>
  <conditionalFormatting sqref="F113:I113">
    <cfRule type="cellIs" dxfId="40" priority="36" stopIfTrue="1" operator="notEqual">
      <formula>0</formula>
    </cfRule>
  </conditionalFormatting>
  <conditionalFormatting sqref="F127:I127">
    <cfRule type="cellIs" dxfId="39" priority="66" stopIfTrue="1" operator="notEqual">
      <formula>0</formula>
    </cfRule>
  </conditionalFormatting>
  <conditionalFormatting sqref="F141:I141">
    <cfRule type="cellIs" dxfId="38" priority="64" stopIfTrue="1" operator="notEqual">
      <formula>0</formula>
    </cfRule>
  </conditionalFormatting>
  <conditionalFormatting sqref="F155:I155">
    <cfRule type="cellIs" dxfId="37" priority="28" stopIfTrue="1" operator="notEqual">
      <formula>0</formula>
    </cfRule>
  </conditionalFormatting>
  <conditionalFormatting sqref="G31:G32">
    <cfRule type="cellIs" dxfId="36" priority="127" stopIfTrue="1" operator="notEqual">
      <formula>0</formula>
    </cfRule>
  </conditionalFormatting>
  <conditionalFormatting sqref="G167:G170">
    <cfRule type="cellIs" dxfId="35" priority="95" stopIfTrue="1" operator="notEqual">
      <formula>0</formula>
    </cfRule>
  </conditionalFormatting>
  <conditionalFormatting sqref="H18:I19 G19 J19 G22:I23 G24:G30 H24:H32 I24:I35 G33:G35 J35">
    <cfRule type="cellIs" dxfId="34" priority="126" stopIfTrue="1" operator="notEqual">
      <formula>0</formula>
    </cfRule>
  </conditionalFormatting>
  <conditionalFormatting sqref="I71">
    <cfRule type="cellIs" dxfId="33" priority="57" stopIfTrue="1" operator="notEqual">
      <formula>0</formula>
    </cfRule>
  </conditionalFormatting>
  <conditionalFormatting sqref="K71:M71">
    <cfRule type="cellIs" dxfId="32" priority="52" stopIfTrue="1" operator="notEqual">
      <formula>0</formula>
    </cfRule>
  </conditionalFormatting>
  <conditionalFormatting sqref="K85:M85">
    <cfRule type="cellIs" dxfId="31" priority="44" stopIfTrue="1" operator="notEqual">
      <formula>0</formula>
    </cfRule>
  </conditionalFormatting>
  <conditionalFormatting sqref="K99:M99">
    <cfRule type="cellIs" dxfId="30" priority="42" stopIfTrue="1" operator="notEqual">
      <formula>0</formula>
    </cfRule>
  </conditionalFormatting>
  <conditionalFormatting sqref="K113:M113">
    <cfRule type="cellIs" dxfId="29" priority="108" stopIfTrue="1" operator="notEqual">
      <formula>0</formula>
    </cfRule>
  </conditionalFormatting>
  <conditionalFormatting sqref="K127:M127">
    <cfRule type="cellIs" dxfId="28" priority="107" stopIfTrue="1" operator="notEqual">
      <formula>0</formula>
    </cfRule>
  </conditionalFormatting>
  <conditionalFormatting sqref="K141:M141">
    <cfRule type="cellIs" dxfId="27" priority="32" stopIfTrue="1" operator="notEqual">
      <formula>0</formula>
    </cfRule>
  </conditionalFormatting>
  <conditionalFormatting sqref="K155:M155">
    <cfRule type="cellIs" dxfId="26" priority="26" stopIfTrue="1" operator="notEqual">
      <formula>0</formula>
    </cfRule>
  </conditionalFormatting>
  <conditionalFormatting sqref="O71:Q71">
    <cfRule type="cellIs" dxfId="25" priority="54" stopIfTrue="1" operator="notEqual">
      <formula>0</formula>
    </cfRule>
  </conditionalFormatting>
  <conditionalFormatting sqref="O85:Q85">
    <cfRule type="cellIs" dxfId="24" priority="50" stopIfTrue="1" operator="notEqual">
      <formula>0</formula>
    </cfRule>
  </conditionalFormatting>
  <conditionalFormatting sqref="O99:Q99">
    <cfRule type="cellIs" dxfId="23" priority="105" stopIfTrue="1" operator="notEqual">
      <formula>0</formula>
    </cfRule>
  </conditionalFormatting>
  <conditionalFormatting sqref="O113:Q113">
    <cfRule type="cellIs" dxfId="22" priority="83" stopIfTrue="1" operator="notEqual">
      <formula>0</formula>
    </cfRule>
  </conditionalFormatting>
  <conditionalFormatting sqref="O127:Q127">
    <cfRule type="cellIs" dxfId="21" priority="34" stopIfTrue="1" operator="notEqual">
      <formula>0</formula>
    </cfRule>
  </conditionalFormatting>
  <conditionalFormatting sqref="O141:Q141">
    <cfRule type="cellIs" dxfId="20" priority="30" stopIfTrue="1" operator="notEqual">
      <formula>0</formula>
    </cfRule>
  </conditionalFormatting>
  <conditionalFormatting sqref="O155:Q155">
    <cfRule type="cellIs" dxfId="19" priority="24" stopIfTrue="1" operator="notEqual">
      <formula>0</formula>
    </cfRule>
  </conditionalFormatting>
  <conditionalFormatting sqref="S71:U71">
    <cfRule type="cellIs" dxfId="18" priority="51" stopIfTrue="1" operator="notEqual">
      <formula>0</formula>
    </cfRule>
  </conditionalFormatting>
  <conditionalFormatting sqref="Q114">
    <cfRule type="expression" dxfId="17" priority="21">
      <formula>AND(Q114&gt;-R114,$Q$87 &lt;&gt; 0)</formula>
    </cfRule>
    <cfRule type="expression" dxfId="16" priority="22">
      <formula>R114&gt;=0</formula>
    </cfRule>
  </conditionalFormatting>
  <conditionalFormatting sqref="P128">
    <cfRule type="expression" dxfId="15" priority="19">
      <formula>AND(P128&gt; -O127, P128 &lt;&gt; 0)</formula>
    </cfRule>
    <cfRule type="expression" dxfId="14" priority="20">
      <formula>O127&gt;=0</formula>
    </cfRule>
  </conditionalFormatting>
  <conditionalFormatting sqref="L142">
    <cfRule type="expression" dxfId="13" priority="17">
      <formula>AND(L142&gt; -K141, L142 &lt;&gt; 0)</formula>
    </cfRule>
    <cfRule type="expression" dxfId="12" priority="18">
      <formula>K141&gt;=0</formula>
    </cfRule>
  </conditionalFormatting>
  <conditionalFormatting sqref="P142">
    <cfRule type="expression" dxfId="11" priority="15">
      <formula>AND(P142&gt; -O141, P142 &lt;&gt; 0)</formula>
    </cfRule>
    <cfRule type="expression" dxfId="10" priority="16">
      <formula>O141&gt;=0</formula>
    </cfRule>
  </conditionalFormatting>
  <conditionalFormatting sqref="H156">
    <cfRule type="expression" dxfId="9" priority="13">
      <formula>AND(H156&gt; -G155, H156 &lt;&gt; 0)</formula>
    </cfRule>
    <cfRule type="expression" dxfId="8" priority="14">
      <formula>G155&gt;=0</formula>
    </cfRule>
  </conditionalFormatting>
  <conditionalFormatting sqref="L156">
    <cfRule type="expression" dxfId="7" priority="11">
      <formula>AND(L156&gt; -K155, L156 &lt;&gt; 0)</formula>
    </cfRule>
    <cfRule type="expression" dxfId="6" priority="12">
      <formula>K155&gt;=0</formula>
    </cfRule>
  </conditionalFormatting>
  <conditionalFormatting sqref="P156">
    <cfRule type="expression" dxfId="5" priority="9">
      <formula>AND(P156&gt; -O155, P156 &lt;&gt; 0)</formula>
    </cfRule>
    <cfRule type="expression" dxfId="4" priority="10">
      <formula>O155&gt;=0</formula>
    </cfRule>
  </conditionalFormatting>
  <conditionalFormatting sqref="B46:C46">
    <cfRule type="expression" dxfId="3" priority="1" stopIfTrue="1">
      <formula>AND($D$46&lt;&gt;"",$D$46&lt;&gt;0)</formula>
    </cfRule>
    <cfRule type="expression" dxfId="2" priority="2" stopIfTrue="1">
      <formula>AND($D$46="",$D$46=0)</formula>
    </cfRule>
  </conditionalFormatting>
  <conditionalFormatting sqref="B47:C47">
    <cfRule type="expression" dxfId="1" priority="3" stopIfTrue="1">
      <formula>AND($D$47&lt;&gt;"",$D$47&lt;&gt;0)</formula>
    </cfRule>
    <cfRule type="expression" dxfId="0" priority="4" stopIfTrue="1">
      <formula>AND($D$47="",$D$47=0)</formula>
    </cfRule>
  </conditionalFormatting>
  <dataValidations count="7">
    <dataValidation allowBlank="1" showInputMessage="1" showErrorMessage="1" promptTitle="WACC-Netz" prompt="- bei Unterdeckung keine Verzinsungspflicht (höchstens WACC-Netz)_x000a_- bei Überdeckungen Mindestverzinsung (WACC-Netz)" sqref="R67" xr:uid="{DDDE2CFF-A0C6-4DAE-812C-E086CFBD38EF}"/>
    <dataValidation allowBlank="1" showInputMessage="1" showErrorMessage="1" promptTitle="FK-Kostensatz" prompt="Gemäss Anhang 1 StromVV_x000a_- bei Unterdeckung keine Verzinsungspflicht (höchstens FK-Kostensatz)_x000a_- bei Überdeckungen Mindestverzinsung (FK-Kostensatz)" sqref="D150 F150 J150 N150 N136 F136 J136 N108 N122 J122" xr:uid="{D8497C85-8F01-417A-A0DD-CF1A4E0BA414}"/>
    <dataValidation allowBlank="1" showInputMessage="1" showErrorMessage="1" prompt="Tarifneutrale Unterdeckungs-Ausbuchung erfolgt mit + " sqref="M51" xr:uid="{67FF0E5F-E607-4F0D-9D0B-89C215C1665A}"/>
    <dataValidation type="decimal" allowBlank="1" showInputMessage="1" showErrorMessage="1" errorTitle="Standard" error="Bitte geben Sie einen Zahlenwert ein!" sqref="D62:E67" xr:uid="{EC1A19D4-6D44-4B3F-8684-D32D2DB6C3A0}">
      <formula1>-1000000000</formula1>
      <formula2>1000000000</formula2>
    </dataValidation>
    <dataValidation allowBlank="1" showInputMessage="1" showErrorMessage="1" errorTitle="Standard" error="Bitte geben Sie hier den verwendeten Zinssatz ein!" promptTitle="Zinssatz" sqref="Q162:Q163" xr:uid="{870118B8-62CE-4216-BF24-60CF6992CFAD}"/>
    <dataValidation type="decimal" allowBlank="1" showInputMessage="1" showErrorMessage="1" errorTitle="Achtung Rundungsproblem" error="Wenn Sie den negativen Rest (Unterdeckung) ganz entfernen möchten, geben Sie bitte einen um 0,01 Rp. oder 0,005 Rp. niedrigeren Betrag ein." promptTitle="Tarifneutrale Ausbuchung" prompt="Keine negative Werte_x000a_" sqref="Q114" xr:uid="{51394AC6-7D6C-4CCA-8597-E169E0BC7B1F}">
      <formula1>0</formula1>
      <formula2>MAX(-R114,0)</formula2>
    </dataValidation>
    <dataValidation type="decimal" allowBlank="1" showInputMessage="1" showErrorMessage="1" promptTitle="Tarifneutrale Ausbuchung" prompt="Keine negative Werte_x000a_" sqref="P128 L142 P142 H156 L156 P156" xr:uid="{BF09215D-B942-4E9F-87EC-035FCDFB76EA}">
      <formula1>0</formula1>
      <formula2>MAX(-G127,0)</formula2>
    </dataValidation>
  </dataValidations>
  <hyperlinks>
    <hyperlink ref="J24:K24" location="Grosswasserkraft!A1" display="Siehe Formular 5.4" xr:uid="{699EC58F-19B9-474C-BAD2-0C7B0DB42A1E}"/>
    <hyperlink ref="J23:K23" location="'Art. 6 Abs. 5bis StromVG'!A1" display="Siehe Formular 5.5" xr:uid="{6847ADB5-F581-4696-8AC5-CBFB9AF4E8CF}"/>
    <hyperlink ref="J26:K26" location="'Art. 6 Abs. 5bis StromVG'!A1" display="Siehe Formular 5.5" xr:uid="{FC56C910-2B85-4315-B218-2223407DB93A}"/>
  </hyperlinks>
  <pageMargins left="0.39370078740157483" right="0.19685039370078741" top="1.2598425196850394" bottom="1.0629921259842521" header="0.31496062992125984" footer="0.23622047244094491"/>
  <pageSetup paperSize="8" scale="38" fitToHeight="2" orientation="landscape" r:id="rId1"/>
  <headerFooter scaleWithDoc="0">
    <oddHeader>&amp;C&amp;A; &amp;D</oddHeader>
    <oddFooter>&amp;LNachkalkulation Deckungsdifferenzen Energie 2029&amp;RSeite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Übersicht</vt:lpstr>
      <vt:lpstr>DD Energie 2024</vt:lpstr>
      <vt:lpstr>DD Energie 2025</vt:lpstr>
      <vt:lpstr>DD Energie 2026</vt:lpstr>
      <vt:lpstr>DD Energie 2027</vt:lpstr>
      <vt:lpstr>DD Energie 2028</vt:lpstr>
      <vt:lpstr>DD Energie 2029</vt:lpstr>
      <vt:lpstr>'DD Energie 2024'!Druckbereich</vt:lpstr>
      <vt:lpstr>'DD Energie 2025'!Druckbereich</vt:lpstr>
      <vt:lpstr>'DD Energie 2026'!Druckbereich</vt:lpstr>
      <vt:lpstr>'DD Energie 2027'!Druckbereich</vt:lpstr>
      <vt:lpstr>'DD Energie 2028'!Druckbereich</vt:lpstr>
      <vt:lpstr>'DD Energie 2029'!Druckbereich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Andrist Corinne ElCom</dc:creator>
  <cp:lastModifiedBy>Pauli Sandro ElCom</cp:lastModifiedBy>
  <cp:lastPrinted>2024-06-25T11:20:36Z</cp:lastPrinted>
  <dcterms:created xsi:type="dcterms:W3CDTF">2023-04-03T10:04:54Z</dcterms:created>
  <dcterms:modified xsi:type="dcterms:W3CDTF">2024-06-25T12:05:37Z</dcterms:modified>
</cp:coreProperties>
</file>